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." sheetId="1" state="visible" r:id="rId2"/>
    <sheet name="Списки по курсам" sheetId="2" state="visible" r:id="rId3"/>
    <sheet name="Переформатированный ответ" sheetId="3" state="visible" r:id="rId4"/>
    <sheet name="Немного статистики в картинках" sheetId="4" state="visible" r:id="rId5"/>
    <sheet name="Оповещения" sheetId="5" state="visible" r:id="rId6"/>
    <sheet name="Corr" sheetId="6" state="visible" r:id="rId7"/>
    <sheet name="Parse" sheetId="7" state="visible" r:id="rId8"/>
    <sheet name="Свободные дети" sheetId="8" state="visible" r:id="rId9"/>
    <sheet name="dev" sheetId="9" state="visible" r:id="rId10"/>
    <sheet name="Дипломы" sheetId="10" state="visible" r:id="rId11"/>
    <sheet name="Списки для журнала" sheetId="11" state="visible" r:id="rId12"/>
    <sheet name="Sheet12" sheetId="12" state="visible" r:id="rId13"/>
    <sheet name="Посещаемость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Легенда: 
-1 - отказался
0 - не спрашивали
1 - спросили
2 - точно будет</t>
        </r>
      </text>
    </comment>
  </commentList>
</comments>
</file>

<file path=xl/sharedStrings.xml><?xml version="1.0" encoding="utf-8"?>
<sst xmlns="http://schemas.openxmlformats.org/spreadsheetml/2006/main" count="3627" uniqueCount="592">
  <si>
    <t xml:space="preserve">Выберите курс</t>
  </si>
  <si>
    <t xml:space="preserve">Первая половина смены</t>
  </si>
  <si>
    <t xml:space="preserve">Программирование(Свет)</t>
  </si>
  <si>
    <t xml:space="preserve">Timestamp</t>
  </si>
  <si>
    <t xml:space="preserve">Фамилия</t>
  </si>
  <si>
    <t xml:space="preserve">Имя</t>
  </si>
  <si>
    <t xml:space="preserve">Класс</t>
  </si>
  <si>
    <t xml:space="preserve">Ваша школа</t>
  </si>
  <si>
    <t xml:space="preserve">Дополнительная информация</t>
  </si>
  <si>
    <t xml:space="preserve">Вконтакте</t>
  </si>
  <si>
    <t xml:space="preserve">Ваш E-mail</t>
  </si>
  <si>
    <t xml:space="preserve">первый курс</t>
  </si>
  <si>
    <t xml:space="preserve">второй курс</t>
  </si>
  <si>
    <t xml:space="preserve">Точность бытия</t>
  </si>
  <si>
    <t xml:space="preserve">Вторая половина смены</t>
  </si>
  <si>
    <t xml:space="preserve">Ваш ID в ВК</t>
  </si>
  <si>
    <t xml:space="preserve">Физика(Шумаков)</t>
  </si>
  <si>
    <t xml:space="preserve">Выберите первый курс (введите число от 1 до 10)</t>
  </si>
  <si>
    <t xml:space="preserve">Выберите второй курс (введите число от 1 до 10)</t>
  </si>
  <si>
    <t xml:space="preserve">Повторный опрос</t>
  </si>
  <si>
    <t xml:space="preserve">Биоинформатика</t>
  </si>
  <si>
    <t xml:space="preserve">+</t>
  </si>
  <si>
    <t xml:space="preserve">Физика(Рутберг)</t>
  </si>
  <si>
    <t xml:space="preserve">-</t>
  </si>
  <si>
    <t xml:space="preserve">Математика(Кудык)</t>
  </si>
  <si>
    <t xml:space="preserve">Математика(Строженко)</t>
  </si>
  <si>
    <t xml:space="preserve">Экономика</t>
  </si>
  <si>
    <t xml:space="preserve">Испанский</t>
  </si>
  <si>
    <t xml:space="preserve">Конец июня</t>
  </si>
  <si>
    <t xml:space="preserve">Право</t>
  </si>
  <si>
    <t xml:space="preserve">Программирование(Шульга)</t>
  </si>
  <si>
    <t xml:space="preserve">Повторения фамилий</t>
  </si>
  <si>
    <t xml:space="preserve">7 июня</t>
  </si>
  <si>
    <t xml:space="preserve">нет</t>
  </si>
  <si>
    <t xml:space="preserve">https://vk.com/id243002488</t>
  </si>
  <si>
    <t xml:space="preserve">БУДЕТ ПОСЛЕ 10</t>
  </si>
  <si>
    <t xml:space="preserve">Написать на почту</t>
  </si>
  <si>
    <t xml:space="preserve">date</t>
  </si>
  <si>
    <t xml:space="preserve">hour</t>
  </si>
  <si>
    <t xml:space="preserve">117</t>
  </si>
  <si>
    <t xml:space="preserve">64</t>
  </si>
  <si>
    <t xml:space="preserve">92</t>
  </si>
  <si>
    <t xml:space="preserve">остальные</t>
  </si>
  <si>
    <t xml:space="preserve">Отказался</t>
  </si>
  <si>
    <t xml:space="preserve">Неизвестно</t>
  </si>
  <si>
    <t xml:space="preserve">Задан вопрос</t>
  </si>
  <si>
    <t xml:space="preserve">Подтвердил участие</t>
  </si>
  <si>
    <t xml:space="preserve">Степень тухлости в днях</t>
  </si>
  <si>
    <t xml:space="preserve">Если вы не знали, то сегодня:</t>
  </si>
  <si>
    <t xml:space="preserve">Тухлость от</t>
  </si>
  <si>
    <t xml:space="preserve">дней </t>
  </si>
  <si>
    <t xml:space="preserve">до </t>
  </si>
  <si>
    <t xml:space="preserve">дней включительно</t>
  </si>
  <si>
    <t xml:space="preserve">Тухлость</t>
  </si>
  <si>
    <t xml:space="preserve">точность бытия</t>
  </si>
  <si>
    <t xml:space="preserve">повторный опрос</t>
  </si>
  <si>
    <t xml:space="preserve">Can't understand whom do you select</t>
  </si>
  <si>
    <t xml:space="preserve">Выберите первый курс</t>
  </si>
  <si>
    <t xml:space="preserve">Выберите второй курс</t>
  </si>
  <si>
    <t xml:space="preserve">Власов</t>
  </si>
  <si>
    <t xml:space="preserve">Роман</t>
  </si>
  <si>
    <t xml:space="preserve">БОУ ОО МОЦРО 117</t>
  </si>
  <si>
    <t xml:space="preserve">vk.com/agent024</t>
  </si>
  <si>
    <t xml:space="preserve">Optimys.prajm@mail.ru</t>
  </si>
  <si>
    <t xml:space="preserve">Нуркушева </t>
  </si>
  <si>
    <t xml:space="preserve">Данара </t>
  </si>
  <si>
    <t xml:space="preserve">БОУ ОО "МОЦРО#117"</t>
  </si>
  <si>
    <t xml:space="preserve">https://vk.com/id55040621</t>
  </si>
  <si>
    <t xml:space="preserve">Danaranurkusheva@yandex.ru</t>
  </si>
  <si>
    <t xml:space="preserve">Темерева</t>
  </si>
  <si>
    <t xml:space="preserve">Алиса</t>
  </si>
  <si>
    <t xml:space="preserve">Гимназия № 117</t>
  </si>
  <si>
    <t xml:space="preserve">https://m.vk.com/alisatemereva</t>
  </si>
  <si>
    <t xml:space="preserve">Temerevaalisa@mail.ru</t>
  </si>
  <si>
    <t xml:space="preserve">Богданова</t>
  </si>
  <si>
    <t xml:space="preserve">Анастасия</t>
  </si>
  <si>
    <t xml:space="preserve">БОУ ОО"МОЦРО 117"</t>
  </si>
  <si>
    <t xml:space="preserve">vk.com/id206813526</t>
  </si>
  <si>
    <t xml:space="preserve">Bogdanovaasya_2907@mail.ru</t>
  </si>
  <si>
    <t xml:space="preserve">Тулинская</t>
  </si>
  <si>
    <t xml:space="preserve">Джессика</t>
  </si>
  <si>
    <t xml:space="preserve">Лицей 54</t>
  </si>
  <si>
    <t xml:space="preserve">https://vk.com/jess41359473</t>
  </si>
  <si>
    <t xml:space="preserve">aprelka_25@mail.ru</t>
  </si>
  <si>
    <t xml:space="preserve">Анисимков</t>
  </si>
  <si>
    <t xml:space="preserve">Степан</t>
  </si>
  <si>
    <t xml:space="preserve">159</t>
  </si>
  <si>
    <t xml:space="preserve">vk.com/id293021806</t>
  </si>
  <si>
    <t xml:space="preserve">stepa100023@gmail.com</t>
  </si>
  <si>
    <t xml:space="preserve">Прохоров</t>
  </si>
  <si>
    <t xml:space="preserve">Сергей</t>
  </si>
  <si>
    <t xml:space="preserve">Гимназия 139</t>
  </si>
  <si>
    <t xml:space="preserve">vk.com/id326623716</t>
  </si>
  <si>
    <t xml:space="preserve">sergeypro@inbox.ru</t>
  </si>
  <si>
    <t xml:space="preserve">Сушкова</t>
  </si>
  <si>
    <t xml:space="preserve">Ирина</t>
  </si>
  <si>
    <t xml:space="preserve">БОУ ОО "МОЦРО 117"</t>
  </si>
  <si>
    <t xml:space="preserve">vk.com/id402259781</t>
  </si>
  <si>
    <t xml:space="preserve">suirma@mail.ru</t>
  </si>
  <si>
    <t xml:space="preserve">Лазарев</t>
  </si>
  <si>
    <t xml:space="preserve">Анатолий</t>
  </si>
  <si>
    <t xml:space="preserve">116</t>
  </si>
  <si>
    <t xml:space="preserve">vk.com/tillid</t>
  </si>
  <si>
    <t xml:space="preserve">lazarevl2001@gmail.com</t>
  </si>
  <si>
    <t xml:space="preserve">Затолоцкая </t>
  </si>
  <si>
    <t xml:space="preserve">Юлия</t>
  </si>
  <si>
    <t xml:space="preserve">СУНЦ НГУ</t>
  </si>
  <si>
    <t xml:space="preserve">https://vk.com/juliya___z</t>
  </si>
  <si>
    <t xml:space="preserve">Zatolockaya11@mail.ru </t>
  </si>
  <si>
    <t xml:space="preserve">Цалко</t>
  </si>
  <si>
    <t xml:space="preserve">61</t>
  </si>
  <si>
    <t xml:space="preserve">vk.com/id166902078</t>
  </si>
  <si>
    <t xml:space="preserve">lena.tsalko.71@mail.ru</t>
  </si>
  <si>
    <t xml:space="preserve">Киямова</t>
  </si>
  <si>
    <t xml:space="preserve">Наиля</t>
  </si>
  <si>
    <t xml:space="preserve">лицей 64</t>
  </si>
  <si>
    <t xml:space="preserve">Могу не появляться на занятиях, но постараюсь без этого.</t>
  </si>
  <si>
    <t xml:space="preserve">https://vk.com/loiwwer</t>
  </si>
  <si>
    <t xml:space="preserve">nkom5507@gmail.com</t>
  </si>
  <si>
    <t xml:space="preserve">Гриценко</t>
  </si>
  <si>
    <t xml:space="preserve">Ольга</t>
  </si>
  <si>
    <t xml:space="preserve">БОУ ОО "МОЦРО №117"</t>
  </si>
  <si>
    <t xml:space="preserve">vk.com/idiamolya</t>
  </si>
  <si>
    <t xml:space="preserve">olya_00@bk.ru</t>
  </si>
  <si>
    <t xml:space="preserve">Вишневский</t>
  </si>
  <si>
    <t xml:space="preserve">Арсений</t>
  </si>
  <si>
    <t xml:space="preserve">БОУ г.Омска "Лицей №25"</t>
  </si>
  <si>
    <t xml:space="preserve">tvishnevska@mail.ru</t>
  </si>
  <si>
    <t xml:space="preserve">Кумейко </t>
  </si>
  <si>
    <t xml:space="preserve">Сергей </t>
  </si>
  <si>
    <t xml:space="preserve">Лицей 64</t>
  </si>
  <si>
    <t xml:space="preserve">https://vk.com/id354871101</t>
  </si>
  <si>
    <t xml:space="preserve">skumejko@inbox.ru</t>
  </si>
  <si>
    <t xml:space="preserve">Чебакова</t>
  </si>
  <si>
    <t xml:space="preserve">Майя</t>
  </si>
  <si>
    <t xml:space="preserve">https://vk.com/id305699141</t>
  </si>
  <si>
    <t xml:space="preserve">Sir.stannow@yandex.ru </t>
  </si>
  <si>
    <t xml:space="preserve">Верзун</t>
  </si>
  <si>
    <t xml:space="preserve">Юрий</t>
  </si>
  <si>
    <t xml:space="preserve">https://vk.com/id400485657</t>
  </si>
  <si>
    <t xml:space="preserve">yurver@inbox.ru</t>
  </si>
  <si>
    <t xml:space="preserve">Артамонова</t>
  </si>
  <si>
    <t xml:space="preserve">Анна</t>
  </si>
  <si>
    <t xml:space="preserve">vk.com/id157850061</t>
  </si>
  <si>
    <t xml:space="preserve">nastyafilipenko57@gmail.com</t>
  </si>
  <si>
    <t xml:space="preserve">Подворная </t>
  </si>
  <si>
    <t xml:space="preserve">Елизавета </t>
  </si>
  <si>
    <t xml:space="preserve">https://vk.com/liza06082000</t>
  </si>
  <si>
    <t xml:space="preserve">06082000@mail.ru</t>
  </si>
  <si>
    <t xml:space="preserve">Быков</t>
  </si>
  <si>
    <t xml:space="preserve">Андрей</t>
  </si>
  <si>
    <t xml:space="preserve">не умеет пользоваться</t>
  </si>
  <si>
    <t xml:space="preserve">andrey12072000@mail.ru</t>
  </si>
  <si>
    <t xml:space="preserve">Ложников</t>
  </si>
  <si>
    <t xml:space="preserve">Виктор</t>
  </si>
  <si>
    <t xml:space="preserve">смогу участвовать до 14 июля включительно</t>
  </si>
  <si>
    <t xml:space="preserve">https://vk.com/lozhnikov_victor</t>
  </si>
  <si>
    <t xml:space="preserve">v.lozhnikov2000@gmail.com</t>
  </si>
  <si>
    <t xml:space="preserve">Киреев</t>
  </si>
  <si>
    <t xml:space="preserve">Владимир</t>
  </si>
  <si>
    <t xml:space="preserve">Лицей 25</t>
  </si>
  <si>
    <t xml:space="preserve"> нет</t>
  </si>
  <si>
    <t xml:space="preserve">vova.kireev.2001@gmail.com</t>
  </si>
  <si>
    <t xml:space="preserve">Сычов</t>
  </si>
  <si>
    <t xml:space="preserve">Семён</t>
  </si>
  <si>
    <t xml:space="preserve">vk.com/sermon.kokosov</t>
  </si>
  <si>
    <t xml:space="preserve">vorkokosov@yandex.ru</t>
  </si>
  <si>
    <t xml:space="preserve">Мельков</t>
  </si>
  <si>
    <t xml:space="preserve">Михаил</t>
  </si>
  <si>
    <t xml:space="preserve">https://vk.com/id81616591</t>
  </si>
  <si>
    <t xml:space="preserve">Mikahail-19990@mail.ru</t>
  </si>
  <si>
    <t xml:space="preserve">Цындуков</t>
  </si>
  <si>
    <t xml:space="preserve">Лицей 92</t>
  </si>
  <si>
    <t xml:space="preserve">https://vk.com/tsyndukov</t>
  </si>
  <si>
    <t xml:space="preserve">tsinda2000@gmail.com</t>
  </si>
  <si>
    <t xml:space="preserve">Мозылева</t>
  </si>
  <si>
    <t xml:space="preserve">Мария</t>
  </si>
  <si>
    <t xml:space="preserve">БОУ г. Омска "Гимназия 9"</t>
  </si>
  <si>
    <t xml:space="preserve">https://m.vk.com/id99314292</t>
  </si>
  <si>
    <t xml:space="preserve">moz.maris@gmail.com</t>
  </si>
  <si>
    <t xml:space="preserve">Храмов</t>
  </si>
  <si>
    <t xml:space="preserve">БОУ СОШ √83</t>
  </si>
  <si>
    <t xml:space="preserve">Я ,скорее всего, не смогу каждый день ходить в вашу школу,т.к. у меня имеются доп.занятия.</t>
  </si>
  <si>
    <t xml:space="preserve">https://vk.com/damaskyoutube</t>
  </si>
  <si>
    <t xml:space="preserve">khramov.02list.ru16@gmail.com</t>
  </si>
  <si>
    <t xml:space="preserve">Задорожная</t>
  </si>
  <si>
    <t xml:space="preserve">Виолетта</t>
  </si>
  <si>
    <t xml:space="preserve">https://m.vk.com/id198934365</t>
  </si>
  <si>
    <t xml:space="preserve">vitulya.zadorozhnaya@mail.ru</t>
  </si>
  <si>
    <t xml:space="preserve">Сташевская</t>
  </si>
  <si>
    <t xml:space="preserve">Анита</t>
  </si>
  <si>
    <t xml:space="preserve">Гимназия №84</t>
  </si>
  <si>
    <t xml:space="preserve">https://vk.com/anitastashevskaya</t>
  </si>
  <si>
    <t xml:space="preserve">anita.stashevskaya@mail.ru</t>
  </si>
  <si>
    <t xml:space="preserve">Турышев</t>
  </si>
  <si>
    <t xml:space="preserve">Константин</t>
  </si>
  <si>
    <t xml:space="preserve">vk.com/id281300280</t>
  </si>
  <si>
    <t xml:space="preserve">turyshev.konstantin@gmail.com</t>
  </si>
  <si>
    <t xml:space="preserve">Кучин </t>
  </si>
  <si>
    <t xml:space="preserve">Роман </t>
  </si>
  <si>
    <t xml:space="preserve">БОУ МОЦРО 117 </t>
  </si>
  <si>
    <t xml:space="preserve">Готов трудиться день и ночь </t>
  </si>
  <si>
    <t xml:space="preserve">kuchin_ov@mail.ru </t>
  </si>
  <si>
    <t xml:space="preserve">Фильчиков</t>
  </si>
  <si>
    <t xml:space="preserve">Алексей</t>
  </si>
  <si>
    <t xml:space="preserve">3</t>
  </si>
  <si>
    <t xml:space="preserve">не смогу 16 июля, так как день рождения</t>
  </si>
  <si>
    <t xml:space="preserve">https://vk.com/zuzukidze</t>
  </si>
  <si>
    <t xml:space="preserve">alex.filchikov@gmail.com</t>
  </si>
  <si>
    <t xml:space="preserve">Ткачёва</t>
  </si>
  <si>
    <t xml:space="preserve">Евгения</t>
  </si>
  <si>
    <t xml:space="preserve">лицей 143</t>
  </si>
  <si>
    <t xml:space="preserve">https://vk.com/zhenek1979</t>
  </si>
  <si>
    <t xml:space="preserve">TkachevaE143@gmail.com</t>
  </si>
  <si>
    <t xml:space="preserve">Фадеева</t>
  </si>
  <si>
    <t xml:space="preserve">Алена</t>
  </si>
  <si>
    <t xml:space="preserve">Возможно уеду на время проведения,но возможно и нет!</t>
  </si>
  <si>
    <t xml:space="preserve">https://vk.com/alenushkaa_a</t>
  </si>
  <si>
    <t xml:space="preserve">Angela199910@mail.ru</t>
  </si>
  <si>
    <t xml:space="preserve">Балакина</t>
  </si>
  <si>
    <t xml:space="preserve">академический лицей</t>
  </si>
  <si>
    <t xml:space="preserve">https://vk.com/yulyabalakina</t>
  </si>
  <si>
    <t xml:space="preserve">Batw@mail.ru</t>
  </si>
  <si>
    <t xml:space="preserve">Суднев</t>
  </si>
  <si>
    <t xml:space="preserve">149</t>
  </si>
  <si>
    <t xml:space="preserve">vk.com/dref55</t>
  </si>
  <si>
    <t xml:space="preserve">ferstly@yandex.ru</t>
  </si>
  <si>
    <t xml:space="preserve">Шевцов</t>
  </si>
  <si>
    <t xml:space="preserve">Владислав</t>
  </si>
  <si>
    <t xml:space="preserve">Возможно, могут быть обстоятельства,  по которым вынужден буду отказаться, но постараюсь предупредить заранее</t>
  </si>
  <si>
    <t xml:space="preserve">vk.com/shefat</t>
  </si>
  <si>
    <t xml:space="preserve">InEveryGoodShefat@gmail.com</t>
  </si>
  <si>
    <t xml:space="preserve">Кудашкина</t>
  </si>
  <si>
    <t xml:space="preserve">123</t>
  </si>
  <si>
    <t xml:space="preserve">http://vk.com/id183332969</t>
  </si>
  <si>
    <t xml:space="preserve">moose123@bk.ru</t>
  </si>
  <si>
    <t xml:space="preserve">Кельцев</t>
  </si>
  <si>
    <t xml:space="preserve">Павел</t>
  </si>
  <si>
    <t xml:space="preserve">https://vk.com/pkeltsev</t>
  </si>
  <si>
    <t xml:space="preserve">pkeltsev@yandex.ru</t>
  </si>
  <si>
    <t xml:space="preserve">Задворнов</t>
  </si>
  <si>
    <t xml:space="preserve">Вячеслав</t>
  </si>
  <si>
    <t xml:space="preserve">34</t>
  </si>
  <si>
    <t xml:space="preserve">vk.com/id209670944</t>
  </si>
  <si>
    <t xml:space="preserve">takov_08@mail.ru</t>
  </si>
  <si>
    <t xml:space="preserve">Захаров</t>
  </si>
  <si>
    <t xml:space="preserve">Всеволод</t>
  </si>
  <si>
    <t xml:space="preserve">Лицей №92</t>
  </si>
  <si>
    <t xml:space="preserve">https://vk.com/id288643683</t>
  </si>
  <si>
    <t xml:space="preserve">seva_zakharov@mail.ru</t>
  </si>
  <si>
    <t xml:space="preserve">Уманский</t>
  </si>
  <si>
    <t xml:space="preserve">БОУ "лицей № 64"</t>
  </si>
  <si>
    <t xml:space="preserve">по возможности записать в группу с Киямовой Наилей</t>
  </si>
  <si>
    <t xml:space="preserve">https://vk.com/umnayshe4ka</t>
  </si>
  <si>
    <t xml:space="preserve">superpo4ta.rom@gmail.com</t>
  </si>
  <si>
    <t xml:space="preserve">Вачев</t>
  </si>
  <si>
    <t xml:space="preserve">Иван</t>
  </si>
  <si>
    <t xml:space="preserve">19</t>
  </si>
  <si>
    <t xml:space="preserve">vk.com/ivan_vachev</t>
  </si>
  <si>
    <t xml:space="preserve">t.vacheva@mail.ru</t>
  </si>
  <si>
    <t xml:space="preserve">Золотарев</t>
  </si>
  <si>
    <t xml:space="preserve">Дмитрий</t>
  </si>
  <si>
    <t xml:space="preserve">Возможно не смогу посетить последние дни школы "Сигма"  из-за отпуска родителей.</t>
  </si>
  <si>
    <t xml:space="preserve">https://vk.com/zolotadmitriy</t>
  </si>
  <si>
    <t xml:space="preserve">zoloto6777@list.ru</t>
  </si>
  <si>
    <t xml:space="preserve">Панов </t>
  </si>
  <si>
    <t xml:space="preserve">Севастьян</t>
  </si>
  <si>
    <t xml:space="preserve">БОУОО"МОЦРО№117"</t>
  </si>
  <si>
    <t xml:space="preserve">vk.com/sevastyanp</t>
  </si>
  <si>
    <t xml:space="preserve">sevapanov@yandex.ru</t>
  </si>
  <si>
    <t xml:space="preserve">Никифоров</t>
  </si>
  <si>
    <t xml:space="preserve">Лука</t>
  </si>
  <si>
    <t xml:space="preserve">115</t>
  </si>
  <si>
    <t xml:space="preserve">vk.com/luckea</t>
  </si>
  <si>
    <t xml:space="preserve">lukanik29@gmail.com</t>
  </si>
  <si>
    <t xml:space="preserve">Вяземский </t>
  </si>
  <si>
    <t xml:space="preserve">Ян</t>
  </si>
  <si>
    <t xml:space="preserve">vk.com/yan_vyazem</t>
  </si>
  <si>
    <t xml:space="preserve">yan.vyazemskiy@mail.ru</t>
  </si>
  <si>
    <t xml:space="preserve">Попова</t>
  </si>
  <si>
    <t xml:space="preserve">Дарья</t>
  </si>
  <si>
    <t xml:space="preserve">Гимназия 43</t>
  </si>
  <si>
    <t xml:space="preserve">svetlana.popova2012@mail.ru</t>
  </si>
  <si>
    <t xml:space="preserve">Широкова</t>
  </si>
  <si>
    <t xml:space="preserve">https://vk.com/id189704537</t>
  </si>
  <si>
    <t xml:space="preserve">ira.shirokova.01@bk.ru</t>
  </si>
  <si>
    <t xml:space="preserve">Крючкова</t>
  </si>
  <si>
    <t xml:space="preserve">Лицей 66</t>
  </si>
  <si>
    <t xml:space="preserve">vk.com/unfraid</t>
  </si>
  <si>
    <t xml:space="preserve">qdemi@mail.ru</t>
  </si>
  <si>
    <t xml:space="preserve">Лапшин</t>
  </si>
  <si>
    <t xml:space="preserve">Георгий</t>
  </si>
  <si>
    <t xml:space="preserve">64 лицей</t>
  </si>
  <si>
    <t xml:space="preserve">https://m.vk.com/georgela</t>
  </si>
  <si>
    <t xml:space="preserve">georgelap@mail.ru</t>
  </si>
  <si>
    <t xml:space="preserve">Коломеец</t>
  </si>
  <si>
    <t xml:space="preserve">БОУ СОШУИОП 73</t>
  </si>
  <si>
    <t xml:space="preserve">https://vk.com/id157847345</t>
  </si>
  <si>
    <t xml:space="preserve">ania.siekriet@mail.ru</t>
  </si>
  <si>
    <t xml:space="preserve">Рябцев</t>
  </si>
  <si>
    <t xml:space="preserve">Данил</t>
  </si>
  <si>
    <t xml:space="preserve">Гимназия №19</t>
  </si>
  <si>
    <t xml:space="preserve">Хочу участвовать с самого начала весь учебный день.</t>
  </si>
  <si>
    <t xml:space="preserve">vk.com/danil.ryabtsev</t>
  </si>
  <si>
    <t xml:space="preserve">idanny.ry@gmail.com</t>
  </si>
  <si>
    <t xml:space="preserve">Базиль</t>
  </si>
  <si>
    <t xml:space="preserve">Александра</t>
  </si>
  <si>
    <t xml:space="preserve">https://m.vk.com/id136665279</t>
  </si>
  <si>
    <t xml:space="preserve">AlexCooper1309@gmail.com</t>
  </si>
  <si>
    <t xml:space="preserve">Ушаков</t>
  </si>
  <si>
    <t xml:space="preserve">кроме двух дней в неделю(вполне возможно, что все дни буду)</t>
  </si>
  <si>
    <t xml:space="preserve">https://vk.com/werrewqr</t>
  </si>
  <si>
    <t xml:space="preserve">ushk2010@yandex.ru</t>
  </si>
  <si>
    <t xml:space="preserve">Романенко</t>
  </si>
  <si>
    <t xml:space="preserve">https://vk.com/idannromm</t>
  </si>
  <si>
    <t xml:space="preserve">annaromanencomail@mail.ru</t>
  </si>
  <si>
    <t xml:space="preserve">Копац</t>
  </si>
  <si>
    <t xml:space="preserve">https://vk.com/mr_ukropchik</t>
  </si>
  <si>
    <t xml:space="preserve">kopatsa01@yandex.ru</t>
  </si>
  <si>
    <t xml:space="preserve">Терещенко</t>
  </si>
  <si>
    <t xml:space="preserve">БОУ ОО "МОЦРО №117" </t>
  </si>
  <si>
    <t xml:space="preserve">мне уже написали приглашение на страницу в вк)</t>
  </si>
  <si>
    <t xml:space="preserve">leha.tarin@mail.ru</t>
  </si>
  <si>
    <t xml:space="preserve">Белозерова</t>
  </si>
  <si>
    <t xml:space="preserve">vk.com/obeloz</t>
  </si>
  <si>
    <t xml:space="preserve">Basyanet@gmail.com</t>
  </si>
  <si>
    <t xml:space="preserve">Красных</t>
  </si>
  <si>
    <t xml:space="preserve">Вадим</t>
  </si>
  <si>
    <t xml:space="preserve">МОЦРО 117</t>
  </si>
  <si>
    <t xml:space="preserve">https://vk.com/evverything_is_allowed</t>
  </si>
  <si>
    <t xml:space="preserve">vadikras@list.ru</t>
  </si>
  <si>
    <t xml:space="preserve">Киселев</t>
  </si>
  <si>
    <t xml:space="preserve">Кирилл</t>
  </si>
  <si>
    <t xml:space="preserve">Лицей №149</t>
  </si>
  <si>
    <t xml:space="preserve">Может быть только первую половину</t>
  </si>
  <si>
    <t xml:space="preserve">https://vk.com/fogo_f</t>
  </si>
  <si>
    <t xml:space="preserve">Kirill_k2002@mail.ru</t>
  </si>
  <si>
    <t xml:space="preserve">Гнедина</t>
  </si>
  <si>
    <t xml:space="preserve">Ксения</t>
  </si>
  <si>
    <t xml:space="preserve">https://vk.com/id377773056</t>
  </si>
  <si>
    <t xml:space="preserve">gnedina_03@mail.ru</t>
  </si>
  <si>
    <t xml:space="preserve">vk.com/id316784802</t>
  </si>
  <si>
    <t xml:space="preserve">Lula_Gnedina@mail.ru</t>
  </si>
  <si>
    <t xml:space="preserve">Дизер</t>
  </si>
  <si>
    <t xml:space="preserve">Маргарита </t>
  </si>
  <si>
    <t xml:space="preserve">БОУ ОО "МОЦРО № 117"</t>
  </si>
  <si>
    <t xml:space="preserve">vk.com/ekweis</t>
  </si>
  <si>
    <t xml:space="preserve">ieufloria@gmail.com</t>
  </si>
  <si>
    <t xml:space="preserve">Ефимова</t>
  </si>
  <si>
    <t xml:space="preserve">Екатерина</t>
  </si>
  <si>
    <t xml:space="preserve">25</t>
  </si>
  <si>
    <t xml:space="preserve">Нет</t>
  </si>
  <si>
    <t xml:space="preserve">kate_efimova@inbox.ru</t>
  </si>
  <si>
    <t xml:space="preserve">Аркушенко</t>
  </si>
  <si>
    <t xml:space="preserve">Максим</t>
  </si>
  <si>
    <t xml:space="preserve">МОЦРО 117 </t>
  </si>
  <si>
    <t xml:space="preserve">https://vk.com/m.arkushenko</t>
  </si>
  <si>
    <t xml:space="preserve">t001@inbox.ru</t>
  </si>
  <si>
    <t xml:space="preserve">Булыгин</t>
  </si>
  <si>
    <t xml:space="preserve">Артем</t>
  </si>
  <si>
    <t xml:space="preserve">vk.com/boulygin</t>
  </si>
  <si>
    <t xml:space="preserve">boulygin.artem@gmail.com</t>
  </si>
  <si>
    <t xml:space="preserve">Гарбуз</t>
  </si>
  <si>
    <t xml:space="preserve">Арина</t>
  </si>
  <si>
    <t xml:space="preserve">98</t>
  </si>
  <si>
    <t xml:space="preserve">vk.com/agarbus2003</t>
  </si>
  <si>
    <t xml:space="preserve">gaa7086@gmail.com</t>
  </si>
  <si>
    <t xml:space="preserve">Кушнарева</t>
  </si>
  <si>
    <t xml:space="preserve">гимназия 159</t>
  </si>
  <si>
    <t xml:space="preserve">vk.com/akushnareva2000</t>
  </si>
  <si>
    <t xml:space="preserve">anastasiakushnareva26@gmail.com</t>
  </si>
  <si>
    <t xml:space="preserve">Артамонов</t>
  </si>
  <si>
    <t xml:space="preserve">Гимназия № 140</t>
  </si>
  <si>
    <t xml:space="preserve">https://vk.com/svandrith</t>
  </si>
  <si>
    <t xml:space="preserve">mr.viktorasov@mail.ru</t>
  </si>
  <si>
    <t xml:space="preserve">Ибатуллина</t>
  </si>
  <si>
    <t xml:space="preserve">Амалия</t>
  </si>
  <si>
    <t xml:space="preserve">https://m.vk.com/id262530619</t>
  </si>
  <si>
    <t xml:space="preserve">ibatullin77@yandex.ru</t>
  </si>
  <si>
    <t xml:space="preserve">Мальцев</t>
  </si>
  <si>
    <t xml:space="preserve">https://vk.com/id269312243</t>
  </si>
  <si>
    <t xml:space="preserve">masnaja_marina@mail.ru</t>
  </si>
  <si>
    <t xml:space="preserve">Янукова</t>
  </si>
  <si>
    <t xml:space="preserve">81</t>
  </si>
  <si>
    <t xml:space="preserve">vk.com/id150796947</t>
  </si>
  <si>
    <t xml:space="preserve">elena051178@gmail.com</t>
  </si>
  <si>
    <t xml:space="preserve">Захарова</t>
  </si>
  <si>
    <t xml:space="preserve">Татьяна</t>
  </si>
  <si>
    <t xml:space="preserve">vk.com/tanya080900</t>
  </si>
  <si>
    <t xml:space="preserve">t.zakharova809@gmail.com</t>
  </si>
  <si>
    <t xml:space="preserve">Савченко</t>
  </si>
  <si>
    <t xml:space="preserve">https://vk.com/id163053104</t>
  </si>
  <si>
    <t xml:space="preserve">skld0@bk.ru</t>
  </si>
  <si>
    <t xml:space="preserve">Куличенко</t>
  </si>
  <si>
    <t xml:space="preserve">Яна</t>
  </si>
  <si>
    <t xml:space="preserve">Лицей №64</t>
  </si>
  <si>
    <t xml:space="preserve">vk.com/y.kulichenko</t>
  </si>
  <si>
    <t xml:space="preserve">kulichenko2001@list.ru</t>
  </si>
  <si>
    <t xml:space="preserve">Елизавета</t>
  </si>
  <si>
    <t xml:space="preserve">vk.com/bellakey</t>
  </si>
  <si>
    <t xml:space="preserve">elizaweta.kulichenko@yandex.ru</t>
  </si>
  <si>
    <t xml:space="preserve">Кочурова</t>
  </si>
  <si>
    <t xml:space="preserve">http://vk.com/id336544709</t>
  </si>
  <si>
    <t xml:space="preserve">katyakochurova@bk.ru</t>
  </si>
  <si>
    <t xml:space="preserve">Черноок</t>
  </si>
  <si>
    <t xml:space="preserve">Егор </t>
  </si>
  <si>
    <t xml:space="preserve">vk.com/id149548495</t>
  </si>
  <si>
    <t xml:space="preserve">egor-chernook@mail.ru</t>
  </si>
  <si>
    <t xml:space="preserve">Кошевая</t>
  </si>
  <si>
    <t xml:space="preserve">"МОЦРО 117"</t>
  </si>
  <si>
    <t xml:space="preserve">https://vk.com/id249818753</t>
  </si>
  <si>
    <t xml:space="preserve">kov_otp@mail.ru</t>
  </si>
  <si>
    <t xml:space="preserve">Стеблий</t>
  </si>
  <si>
    <t xml:space="preserve">Маша</t>
  </si>
  <si>
    <t xml:space="preserve">Не уверена по времени, поэтому могут быть редкие прогулы</t>
  </si>
  <si>
    <t xml:space="preserve">https://vk.com/masya_st</t>
  </si>
  <si>
    <t xml:space="preserve">steblym@gmail.com</t>
  </si>
  <si>
    <t xml:space="preserve">Крючков</t>
  </si>
  <si>
    <t xml:space="preserve">БОУ г. Омска Лицей №66 </t>
  </si>
  <si>
    <t xml:space="preserve">vk.com/sergey80401</t>
  </si>
  <si>
    <t xml:space="preserve">sergey80401@gmail.com</t>
  </si>
  <si>
    <t xml:space="preserve">Олейник</t>
  </si>
  <si>
    <t xml:space="preserve">https://m.vk.com/lololen.gobz</t>
  </si>
  <si>
    <t xml:space="preserve">Лень</t>
  </si>
  <si>
    <t xml:space="preserve">Смирнов</t>
  </si>
  <si>
    <t xml:space="preserve">vk.com/id383760243</t>
  </si>
  <si>
    <t xml:space="preserve">smirnov2571@gmail.com</t>
  </si>
  <si>
    <t xml:space="preserve">Успанова</t>
  </si>
  <si>
    <t xml:space="preserve">Розалита</t>
  </si>
  <si>
    <t xml:space="preserve">№81</t>
  </si>
  <si>
    <t xml:space="preserve">https://vk.com/id162562572</t>
  </si>
  <si>
    <t xml:space="preserve">aferim11@mail.ru</t>
  </si>
  <si>
    <t xml:space="preserve">Долгова</t>
  </si>
  <si>
    <t xml:space="preserve">БОУ ОО "МОЦРО #117"</t>
  </si>
  <si>
    <t xml:space="preserve">vk.com/anna_dolgova2004</t>
  </si>
  <si>
    <t xml:space="preserve">anna.dolgova.2004@mail.ru</t>
  </si>
  <si>
    <t xml:space="preserve">Борисец </t>
  </si>
  <si>
    <t xml:space="preserve">Анастасия </t>
  </si>
  <si>
    <t xml:space="preserve">sobes78@gmail.com</t>
  </si>
  <si>
    <t xml:space="preserve">Суров</t>
  </si>
  <si>
    <t xml:space="preserve">Матвей</t>
  </si>
  <si>
    <t xml:space="preserve">https://vk.com/id411925471</t>
  </si>
  <si>
    <t xml:space="preserve">surova_kristina@inbox.ru</t>
  </si>
  <si>
    <t xml:space="preserve">Крутикова</t>
  </si>
  <si>
    <t xml:space="preserve">https://m.vk.com/id313977338</t>
  </si>
  <si>
    <t xml:space="preserve">jpyleva@mail.ru</t>
  </si>
  <si>
    <t xml:space="preserve">Поркулевич</t>
  </si>
  <si>
    <t xml:space="preserve">https://vk.com/id153731120</t>
  </si>
  <si>
    <t xml:space="preserve">Ctvty0604@mail.ru</t>
  </si>
  <si>
    <t xml:space="preserve">Клименко</t>
  </si>
  <si>
    <t xml:space="preserve">Артём</t>
  </si>
  <si>
    <t xml:space="preserve">https://vk.com/velkonost</t>
  </si>
  <si>
    <t xml:space="preserve">velkonost@gmail.com</t>
  </si>
  <si>
    <t xml:space="preserve">Веретенников</t>
  </si>
  <si>
    <t xml:space="preserve">Лицей #64</t>
  </si>
  <si>
    <t xml:space="preserve">17 часла у мамы день рождения - могу частично пропустить)</t>
  </si>
  <si>
    <t xml:space="preserve">https://m.vk.com/demenkovalexey</t>
  </si>
  <si>
    <t xml:space="preserve">veretennikov.a01@mail.ru</t>
  </si>
  <si>
    <t xml:space="preserve">Рудских</t>
  </si>
  <si>
    <t xml:space="preserve">https://vk.com/d.rudskikh</t>
  </si>
  <si>
    <t xml:space="preserve">rudskihda@gmail.com</t>
  </si>
  <si>
    <t xml:space="preserve">Целиков</t>
  </si>
  <si>
    <t xml:space="preserve">https://vk.com/id179533793</t>
  </si>
  <si>
    <t xml:space="preserve">tselikov_2004@mail.ru</t>
  </si>
  <si>
    <t xml:space="preserve">Гричкоедова</t>
  </si>
  <si>
    <t xml:space="preserve">БОУ Лицей №149</t>
  </si>
  <si>
    <t xml:space="preserve">https://vk.com/grichkoedova</t>
  </si>
  <si>
    <t xml:space="preserve">grichkoedova@yandex.ru</t>
  </si>
  <si>
    <t xml:space="preserve">Рогова</t>
  </si>
  <si>
    <t xml:space="preserve">https://vk.com/juliarrrrrx</t>
  </si>
  <si>
    <t xml:space="preserve">Www.89514263078.ru@mail.ru</t>
  </si>
  <si>
    <t xml:space="preserve">Мороз </t>
  </si>
  <si>
    <t xml:space="preserve">Семён </t>
  </si>
  <si>
    <t xml:space="preserve">semenische@icloud.com</t>
  </si>
  <si>
    <t xml:space="preserve">https://vk.com/id336544709</t>
  </si>
  <si>
    <t xml:space="preserve">Васянович</t>
  </si>
  <si>
    <t xml:space="preserve">Лицей №54 </t>
  </si>
  <si>
    <t xml:space="preserve">https://vk.com/science_tk</t>
  </si>
  <si>
    <t xml:space="preserve">vasyanovichartem@gmail.com</t>
  </si>
  <si>
    <t xml:space="preserve">Бабенко</t>
  </si>
  <si>
    <t xml:space="preserve">Александр</t>
  </si>
  <si>
    <t xml:space="preserve">https://vk.com/id248288690</t>
  </si>
  <si>
    <t xml:space="preserve">babenko254@gmail.com</t>
  </si>
  <si>
    <t xml:space="preserve">Сербин</t>
  </si>
  <si>
    <t xml:space="preserve">https://vk.com/id352280379</t>
  </si>
  <si>
    <t xml:space="preserve">Serbinmax@gmail.com</t>
  </si>
  <si>
    <t xml:space="preserve">Александрова</t>
  </si>
  <si>
    <t xml:space="preserve">Валерия</t>
  </si>
  <si>
    <t xml:space="preserve">https://vk.com/vlicharovski</t>
  </si>
  <si>
    <t xml:space="preserve">licharovski@mail.ru</t>
  </si>
  <si>
    <t xml:space="preserve">Зольников</t>
  </si>
  <si>
    <t xml:space="preserve">vk.com/andrezolnikov</t>
  </si>
  <si>
    <t xml:space="preserve">zolnikov00@ya.ru</t>
  </si>
  <si>
    <t xml:space="preserve">Точилов</t>
  </si>
  <si>
    <t xml:space="preserve">Гимназия 19</t>
  </si>
  <si>
    <t xml:space="preserve">https://vk.com/uhhkjg78ygh</t>
  </si>
  <si>
    <t xml:space="preserve">vladislavtochilov@gmail.com</t>
  </si>
  <si>
    <t xml:space="preserve">Оваканян</t>
  </si>
  <si>
    <t xml:space="preserve">Вероника</t>
  </si>
  <si>
    <t xml:space="preserve">Буду с 8 июля</t>
  </si>
  <si>
    <t xml:space="preserve">https://vk.com/vrnkvknn</t>
  </si>
  <si>
    <t xml:space="preserve">oganes_ovakanyan@mail.ru</t>
  </si>
  <si>
    <t xml:space="preserve">Петухова</t>
  </si>
  <si>
    <t xml:space="preserve">№7</t>
  </si>
  <si>
    <t xml:space="preserve">https://vk.com/ddp102f</t>
  </si>
  <si>
    <t xml:space="preserve">Капллани</t>
  </si>
  <si>
    <t xml:space="preserve">Марина</t>
  </si>
  <si>
    <t xml:space="preserve">АНОО "Видергебурт", с восьмого класса "МОЦРО 117"</t>
  </si>
  <si>
    <t xml:space="preserve">Смогу ходить с 10 июля, т.к. до этого буду в отъезде.</t>
  </si>
  <si>
    <t xml:space="preserve">https://vk.com/mara.rina</t>
  </si>
  <si>
    <t xml:space="preserve">mkapllani3002@gmail.com</t>
  </si>
  <si>
    <t xml:space="preserve">Христолюбов</t>
  </si>
  <si>
    <t xml:space="preserve">Богдан</t>
  </si>
  <si>
    <t xml:space="preserve">vk.com/id382406601</t>
  </si>
  <si>
    <t xml:space="preserve">b140103@list.ru</t>
  </si>
  <si>
    <t xml:space="preserve">Усова</t>
  </si>
  <si>
    <t xml:space="preserve">БОУ ОО г. Омска МОЦРО "ГИнмазия 117"</t>
  </si>
  <si>
    <t xml:space="preserve">https://vk.com/id403901742</t>
  </si>
  <si>
    <t xml:space="preserve">veronika.usova51@mail.ru</t>
  </si>
  <si>
    <t xml:space="preserve">Моисеева</t>
  </si>
  <si>
    <t xml:space="preserve">vk.com/id276675815</t>
  </si>
  <si>
    <t xml:space="preserve">moinikita333@yandex.ru</t>
  </si>
  <si>
    <t xml:space="preserve">Пирогова</t>
  </si>
  <si>
    <t xml:space="preserve">Дарья </t>
  </si>
  <si>
    <t xml:space="preserve">Vk.com/darya.pirogova</t>
  </si>
  <si>
    <t xml:space="preserve">darya.pirogova.03@list.ru</t>
  </si>
  <si>
    <t xml:space="preserve">Ткач</t>
  </si>
  <si>
    <t xml:space="preserve">Софья</t>
  </si>
  <si>
    <t xml:space="preserve">vk.com/id186803102</t>
  </si>
  <si>
    <t xml:space="preserve">sonytkach@mail.ru</t>
  </si>
  <si>
    <t xml:space="preserve">Деркач</t>
  </si>
  <si>
    <t xml:space="preserve">https://vk.com/aderkach2017</t>
  </si>
  <si>
    <t xml:space="preserve">xenia_derkach@mail.ru</t>
  </si>
  <si>
    <t xml:space="preserve">Новопашина</t>
  </si>
  <si>
    <t xml:space="preserve">vk.com/id172201719</t>
  </si>
  <si>
    <t xml:space="preserve">novopashina.eliz@yandex.ru</t>
  </si>
  <si>
    <t xml:space="preserve">Халюзина </t>
  </si>
  <si>
    <t xml:space="preserve">БОУ ОО МОЦРО№117</t>
  </si>
  <si>
    <t xml:space="preserve">https://vk.com/id303071470</t>
  </si>
  <si>
    <t xml:space="preserve">Khlera@mail.ru</t>
  </si>
  <si>
    <t xml:space="preserve">Васильева</t>
  </si>
  <si>
    <t xml:space="preserve">https://vk.com/sadmaris</t>
  </si>
  <si>
    <t xml:space="preserve">vas-77077@mail.ru</t>
  </si>
  <si>
    <t xml:space="preserve">Грушко</t>
  </si>
  <si>
    <t xml:space="preserve">vk.com/id340132670</t>
  </si>
  <si>
    <t xml:space="preserve">grushko.alex@gmail.com</t>
  </si>
  <si>
    <t xml:space="preserve">Бендик </t>
  </si>
  <si>
    <t xml:space="preserve">Илья</t>
  </si>
  <si>
    <t xml:space="preserve">https://vk.com/id189813664</t>
  </si>
  <si>
    <t xml:space="preserve">ilyabend@yandex.ru</t>
  </si>
  <si>
    <t xml:space="preserve">МОГУ участвовать с самого начала и на весь день!</t>
  </si>
  <si>
    <t xml:space="preserve">vk\com Александра Деркач</t>
  </si>
  <si>
    <t xml:space="preserve">Гулькин</t>
  </si>
  <si>
    <t xml:space="preserve">Не весь учебный день</t>
  </si>
  <si>
    <t xml:space="preserve">Нет </t>
  </si>
  <si>
    <t xml:space="preserve">nvita0211@gmail.com</t>
  </si>
  <si>
    <t xml:space="preserve">Тищенко </t>
  </si>
  <si>
    <t xml:space="preserve">Даша</t>
  </si>
  <si>
    <t xml:space="preserve">vk.com/neko_murr</t>
  </si>
  <si>
    <t xml:space="preserve">tishenko.elena.m@mail.ru</t>
  </si>
  <si>
    <t xml:space="preserve">Курбатова</t>
  </si>
  <si>
    <t xml:space="preserve">БОУ СОШ 3</t>
  </si>
  <si>
    <t xml:space="preserve">Вопрос с 09.07</t>
  </si>
  <si>
    <t xml:space="preserve">https://vk.com/anna.kurbatova99</t>
  </si>
  <si>
    <t xml:space="preserve">kea-sea@ya.ru</t>
  </si>
  <si>
    <t xml:space="preserve">Алтышев</t>
  </si>
  <si>
    <t xml:space="preserve">109</t>
  </si>
  <si>
    <t xml:space="preserve">https://vk.com/id312748553</t>
  </si>
  <si>
    <t xml:space="preserve">artem-altyshev@mail.ru</t>
  </si>
  <si>
    <t xml:space="preserve">Желдак</t>
  </si>
  <si>
    <t xml:space="preserve">Леонид</t>
  </si>
  <si>
    <t xml:space="preserve">https://vk.com/lzheldak</t>
  </si>
  <si>
    <t xml:space="preserve">leonid.zheldak@rambler.ru</t>
  </si>
  <si>
    <t xml:space="preserve">Кузьмин</t>
  </si>
  <si>
    <t xml:space="preserve">Василий</t>
  </si>
  <si>
    <t xml:space="preserve">https://vk.com/username1908</t>
  </si>
  <si>
    <t xml:space="preserve">re_1919@mail.ru</t>
  </si>
  <si>
    <t xml:space="preserve">Спиридонова</t>
  </si>
  <si>
    <t xml:space="preserve">Павлова</t>
  </si>
  <si>
    <t xml:space="preserve">144</t>
  </si>
  <si>
    <t xml:space="preserve">Уткина</t>
  </si>
  <si>
    <t xml:space="preserve">Лиза</t>
  </si>
  <si>
    <t xml:space="preserve"> </t>
  </si>
  <si>
    <t xml:space="preserve">"Свободные" дети для сдвоенных курсов</t>
  </si>
  <si>
    <t xml:space="preserve">Расписание</t>
  </si>
  <si>
    <t xml:space="preserve">1 половина</t>
  </si>
  <si>
    <t xml:space="preserve">2 половина</t>
  </si>
  <si>
    <t xml:space="preserve">Дети первой половины</t>
  </si>
  <si>
    <t xml:space="preserve">Дети второй половины</t>
  </si>
  <si>
    <t xml:space="preserve">первая половина</t>
  </si>
  <si>
    <t xml:space="preserve">вторая половина</t>
  </si>
  <si>
    <t xml:space="preserve">Число посещённых пар в сумме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</si>
</sst>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\ h:mm:ss"/>
    <numFmt numFmtId="166" formatCode="@"/>
    <numFmt numFmtId="167" formatCode="General"/>
    <numFmt numFmtId="168" formatCode="m/d/yyyy"/>
    <numFmt numFmtId="169" formatCode="mm/dd/yyyy\ h:mm"/>
    <numFmt numFmtId="170" formatCode="mm/dd/yyyy\ h:mm:ss"/>
    <numFmt numFmtId="171" formatCode="h:mm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  <font>
      <b val="true"/>
      <sz val="16"/>
      <color rgb="FF000000"/>
      <name val="Roboto"/>
      <family val="2"/>
    </font>
    <font>
      <b val="true"/>
      <sz val="10"/>
      <color rgb="FF222222"/>
      <name val="Roboto"/>
      <family val="2"/>
    </font>
    <font>
      <b val="true"/>
      <sz val="12"/>
      <color rgb="FF000000"/>
      <name val="Roboto"/>
      <family val="2"/>
    </font>
    <font>
      <sz val="14"/>
      <name val="Times New Roman"/>
      <family val="0"/>
    </font>
    <font>
      <u val="single"/>
      <sz val="11"/>
      <color rgb="FF2A5885"/>
      <name val="Arial"/>
      <family val="0"/>
      <charset val="1"/>
    </font>
    <font>
      <sz val="11"/>
      <color rgb="FF2A5885"/>
      <name val="-apple-system"/>
      <family val="0"/>
      <charset val="1"/>
    </font>
    <font>
      <b val="true"/>
      <sz val="18"/>
      <name val="Times New Roman"/>
      <family val="0"/>
    </font>
    <font>
      <sz val="12"/>
      <color rgb="FF000000"/>
      <name val="Roboto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4A86E8"/>
        <bgColor rgb="FF6D9EEB"/>
      </patternFill>
    </fill>
    <fill>
      <patternFill patternType="solid">
        <fgColor rgb="FFD9EAD3"/>
        <bgColor rgb="FFD9D9D9"/>
      </patternFill>
    </fill>
    <fill>
      <patternFill patternType="solid">
        <fgColor rgb="FFCFE2F3"/>
        <bgColor rgb="FFC9DAF8"/>
      </patternFill>
    </fill>
    <fill>
      <patternFill patternType="solid">
        <fgColor rgb="FFE06666"/>
        <bgColor rgb="FFFF6600"/>
      </patternFill>
    </fill>
    <fill>
      <patternFill patternType="solid">
        <fgColor rgb="FFC9DAF8"/>
        <bgColor rgb="FFCFE2F3"/>
      </patternFill>
    </fill>
    <fill>
      <patternFill patternType="solid">
        <fgColor rgb="FFA4C2F4"/>
        <bgColor rgb="FF9FC5E8"/>
      </patternFill>
    </fill>
    <fill>
      <patternFill patternType="solid">
        <fgColor rgb="FFB6D7A8"/>
        <bgColor rgb="FFB7B7B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2CC"/>
      <rgbColor rgb="FFCFE2F3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FC5E8"/>
      <rgbColor rgb="FFEA9999"/>
      <rgbColor rgb="FFA4C2F4"/>
      <rgbColor rgb="FFF9CB9C"/>
      <rgbColor rgb="FF3366CC"/>
      <rgbColor rgb="FF33CCCC"/>
      <rgbColor rgb="FF99CC00"/>
      <rgbColor rgb="FFF4C7C3"/>
      <rgbColor rgb="FFFF9900"/>
      <rgbColor rgb="FFFF6600"/>
      <rgbColor rgb="FF4A86E8"/>
      <rgbColor rgb="FFB6D7A8"/>
      <rgbColor rgb="FF003366"/>
      <rgbColor rgb="FF339966"/>
      <rgbColor rgb="FF003300"/>
      <rgbColor rgb="FF333300"/>
      <rgbColor rgb="FF993300"/>
      <rgbColor rgb="FF993366"/>
      <rgbColor rgb="FF2A5885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sz="1800" spc="-1" strike="noStrike">
                <a:solidFill>
                  <a:srgbClr val="000000"/>
                </a:solidFill>
                <a:latin typeface="Roboto"/>
              </a:rPr>
              <a:t>Время регистрации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'Немного статистики в картинках'!$C$2:$C$25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'Немного статистики в картинках'!$D$2:$D$25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10</c:v>
                </c:pt>
                <c:pt idx="17">
                  <c:v>8</c:v>
                </c:pt>
                <c:pt idx="18">
                  <c:v>14</c:v>
                </c:pt>
                <c:pt idx="19">
                  <c:v>6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765087"/>
        <c:axId val="37265183"/>
      </c:lineChart>
      <c:catAx>
        <c:axId val="77765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7265183"/>
        <c:crosses val="autoZero"/>
        <c:auto val="1"/>
        <c:lblAlgn val="ctr"/>
        <c:lblOffset val="100"/>
        <c:noMultiLvlLbl val="0"/>
      </c:catAx>
      <c:valAx>
        <c:axId val="3726518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7765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Roboto"/>
              </a:defRPr>
            </a:pPr>
            <a:r>
              <a:rPr b="1" sz="1600" spc="-1" strike="noStrike">
                <a:solidFill>
                  <a:srgbClr val="000000"/>
                </a:solidFill>
                <a:latin typeface="Roboto"/>
              </a:rPr>
              <a:t>Распределение по классам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6d9eeb">
                <a:alpha val="30000"/>
              </a:srgbClr>
            </a:solidFill>
            <a:ln w="0">
              <a:solidFill>
                <a:srgbClr val="6d9eeb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'Немного статистики в картинках'!$N$7:$N$12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'Немного статистики в картинках'!$O$7:$O$12</c:f>
              <c:numCache>
                <c:formatCode>General</c:formatCode>
                <c:ptCount val="6"/>
                <c:pt idx="0">
                  <c:v>1</c:v>
                </c:pt>
                <c:pt idx="1">
                  <c:v>27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</c:ser>
        <c:axId val="52039511"/>
        <c:axId val="4426244"/>
      </c:areaChart>
      <c:catAx>
        <c:axId val="52039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Класс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426244"/>
        <c:crosses val="autoZero"/>
        <c:auto val="1"/>
        <c:lblAlgn val="ctr"/>
        <c:lblOffset val="100"/>
        <c:noMultiLvlLbl val="0"/>
      </c:catAx>
      <c:valAx>
        <c:axId val="4426244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520395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sz="1800" spc="-1" strike="noStrike">
                <a:solidFill>
                  <a:srgbClr val="000000"/>
                </a:solidFill>
                <a:latin typeface="Roboto"/>
              </a:rPr>
              <a:t>Распределение по школам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9fc5e8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9999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9cb9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b6d7a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'Немного статистики в картинках'!$N$2:$N$5</c:f>
              <c:strCache>
                <c:ptCount val="4"/>
                <c:pt idx="0">
                  <c:v>117</c:v>
                </c:pt>
                <c:pt idx="1">
                  <c:v>64</c:v>
                </c:pt>
                <c:pt idx="2">
                  <c:v>92</c:v>
                </c:pt>
                <c:pt idx="3">
                  <c:v>остальные</c:v>
                </c:pt>
              </c:strCache>
            </c:strRef>
          </c:cat>
          <c:val>
            <c:numRef>
              <c:f>'Немного статистики в картинках'!$O$2:$O$5</c:f>
              <c:numCache>
                <c:formatCode>General</c:formatCode>
                <c:ptCount val="4"/>
                <c:pt idx="0">
                  <c:v>47</c:v>
                </c:pt>
                <c:pt idx="1">
                  <c:v>17</c:v>
                </c:pt>
                <c:pt idx="2">
                  <c:v>3</c:v>
                </c:pt>
                <c:pt idx="3">
                  <c:v>44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222222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Roboto"/>
              </a:defRPr>
            </a:pPr>
            <a:r>
              <a:rPr b="1" sz="1200" spc="-1" strike="noStrike">
                <a:solidFill>
                  <a:srgbClr val="000000"/>
                </a:solidFill>
                <a:latin typeface="Roboto"/>
              </a:rPr>
              <a:t>Подтверждение участия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ea9999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fc5e8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9cb9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b6d7a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'Немного статистики в картинках'!$N$14:$N$17</c:f>
              <c:strCache>
                <c:ptCount val="4"/>
                <c:pt idx="0">
                  <c:v>Отказался</c:v>
                </c:pt>
                <c:pt idx="1">
                  <c:v>Неизвестно</c:v>
                </c:pt>
                <c:pt idx="2">
                  <c:v>Задан вопрос</c:v>
                </c:pt>
                <c:pt idx="3">
                  <c:v>Подтвердил участие</c:v>
                </c:pt>
              </c:strCache>
            </c:strRef>
          </c:cat>
          <c:val>
            <c:numRef>
              <c:f>'Немного статистики в картинках'!$O$14:$O$17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112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222222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Посещаемость!$B$1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Посещаемость!$A$2:$A$13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/>
                </c:pt>
              </c:strCache>
            </c:strRef>
          </c:cat>
          <c:val>
            <c:numRef>
              <c:f>Посещаемость!$B$2:$B$13</c:f>
              <c:numCache>
                <c:formatCode>General</c:formatCode>
                <c:ptCount val="12"/>
                <c:pt idx="0">
                  <c:v>18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59</c:v>
                </c:pt>
                <c:pt idx="11">
                  <c:v>79</c:v>
                </c:pt>
              </c:numCache>
            </c:numRef>
          </c:val>
        </c:ser>
        <c:gapWidth val="150"/>
        <c:overlap val="0"/>
        <c:axId val="3687642"/>
        <c:axId val="20794022"/>
      </c:barChart>
      <c:catAx>
        <c:axId val="36876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первая половина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0794022"/>
        <c:crosses val="autoZero"/>
        <c:auto val="1"/>
        <c:lblAlgn val="ctr"/>
        <c:lblOffset val="100"/>
        <c:noMultiLvlLbl val="0"/>
      </c:catAx>
      <c:valAx>
        <c:axId val="20794022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68764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Посещаемость!$E$1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Посещаемость!$D$2:$D$13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/>
                </c:pt>
              </c:strCache>
            </c:strRef>
          </c:cat>
          <c:val>
            <c:numRef>
              <c:f>Посещаемость!$E$2:$E$13</c:f>
              <c:numCache>
                <c:formatCode>General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19</c:v>
                </c:pt>
                <c:pt idx="9">
                  <c:v>5</c:v>
                </c:pt>
                <c:pt idx="10">
                  <c:v>45</c:v>
                </c:pt>
                <c:pt idx="11">
                  <c:v>77</c:v>
                </c:pt>
              </c:numCache>
            </c:numRef>
          </c:val>
        </c:ser>
        <c:gapWidth val="150"/>
        <c:overlap val="0"/>
        <c:axId val="8532143"/>
        <c:axId val="73463818"/>
      </c:barChart>
      <c:catAx>
        <c:axId val="8532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вторая половина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3463818"/>
        <c:crosses val="autoZero"/>
        <c:auto val="1"/>
        <c:lblAlgn val="ctr"/>
        <c:lblOffset val="100"/>
        <c:noMultiLvlLbl val="0"/>
      </c:catAx>
      <c:valAx>
        <c:axId val="73463818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53214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399960</xdr:colOff>
      <xdr:row>13</xdr:row>
      <xdr:rowOff>76320</xdr:rowOff>
    </xdr:from>
    <xdr:to>
      <xdr:col>8</xdr:col>
      <xdr:colOff>51480</xdr:colOff>
      <xdr:row>26</xdr:row>
      <xdr:rowOff>170640</xdr:rowOff>
    </xdr:to>
    <xdr:graphicFrame>
      <xdr:nvGraphicFramePr>
        <xdr:cNvPr id="0" name="Chart 1"/>
        <xdr:cNvGraphicFramePr/>
      </xdr:nvGraphicFramePr>
      <xdr:xfrm>
        <a:off x="4481640" y="2676600"/>
        <a:ext cx="373320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828720</xdr:colOff>
      <xdr:row>0</xdr:row>
      <xdr:rowOff>142920</xdr:rowOff>
    </xdr:from>
    <xdr:to>
      <xdr:col>12</xdr:col>
      <xdr:colOff>689760</xdr:colOff>
      <xdr:row>12</xdr:row>
      <xdr:rowOff>170640</xdr:rowOff>
    </xdr:to>
    <xdr:graphicFrame>
      <xdr:nvGraphicFramePr>
        <xdr:cNvPr id="1" name="Chart 2"/>
        <xdr:cNvGraphicFramePr/>
      </xdr:nvGraphicFramePr>
      <xdr:xfrm>
        <a:off x="8992080" y="142920"/>
        <a:ext cx="3942720" cy="242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361800</xdr:colOff>
      <xdr:row>13</xdr:row>
      <xdr:rowOff>123840</xdr:rowOff>
    </xdr:from>
    <xdr:to>
      <xdr:col>12</xdr:col>
      <xdr:colOff>594360</xdr:colOff>
      <xdr:row>26</xdr:row>
      <xdr:rowOff>103680</xdr:rowOff>
    </xdr:to>
    <xdr:graphicFrame>
      <xdr:nvGraphicFramePr>
        <xdr:cNvPr id="2" name="Chart 3"/>
        <xdr:cNvGraphicFramePr/>
      </xdr:nvGraphicFramePr>
      <xdr:xfrm>
        <a:off x="8525160" y="2724120"/>
        <a:ext cx="4314240" cy="258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276120</xdr:colOff>
      <xdr:row>28</xdr:row>
      <xdr:rowOff>85680</xdr:rowOff>
    </xdr:from>
    <xdr:to>
      <xdr:col>9</xdr:col>
      <xdr:colOff>948240</xdr:colOff>
      <xdr:row>40</xdr:row>
      <xdr:rowOff>84600</xdr:rowOff>
    </xdr:to>
    <xdr:graphicFrame>
      <xdr:nvGraphicFramePr>
        <xdr:cNvPr id="3" name="Chart 4"/>
        <xdr:cNvGraphicFramePr/>
      </xdr:nvGraphicFramePr>
      <xdr:xfrm>
        <a:off x="4357800" y="5686200"/>
        <a:ext cx="577440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276120</xdr:colOff>
      <xdr:row>0</xdr:row>
      <xdr:rowOff>190440</xdr:rowOff>
    </xdr:from>
    <xdr:to>
      <xdr:col>14</xdr:col>
      <xdr:colOff>857520</xdr:colOff>
      <xdr:row>6</xdr:row>
      <xdr:rowOff>84960</xdr:rowOff>
    </xdr:to>
    <xdr:sp>
      <xdr:nvSpPr>
        <xdr:cNvPr id="4" name="Shape 3"/>
        <xdr:cNvSpPr/>
      </xdr:nvSpPr>
      <xdr:spPr>
        <a:xfrm>
          <a:off x="13834440" y="190440"/>
          <a:ext cx="1602000" cy="1094400"/>
        </a:xfrm>
        <a:prstGeom prst="roundRect">
          <a:avLst>
            <a:gd name="adj" fmla="val 16667"/>
          </a:avLst>
        </a:prstGeom>
        <a:solidFill>
          <a:srgbClr val="cfe2f3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Точно может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295200</xdr:colOff>
      <xdr:row>6</xdr:row>
      <xdr:rowOff>162000</xdr:rowOff>
    </xdr:from>
    <xdr:to>
      <xdr:col>14</xdr:col>
      <xdr:colOff>876600</xdr:colOff>
      <xdr:row>12</xdr:row>
      <xdr:rowOff>18000</xdr:rowOff>
    </xdr:to>
    <xdr:sp>
      <xdr:nvSpPr>
        <xdr:cNvPr id="5" name="Shape 4"/>
        <xdr:cNvSpPr/>
      </xdr:nvSpPr>
      <xdr:spPr>
        <a:xfrm>
          <a:off x="13853520" y="1361880"/>
          <a:ext cx="1602000" cy="1056240"/>
        </a:xfrm>
        <a:prstGeom prst="roundRect">
          <a:avLst>
            <a:gd name="adj" fmla="val 16667"/>
          </a:avLst>
        </a:prstGeom>
        <a:solidFill>
          <a:srgbClr val="fce5cd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Точно не может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304920</xdr:colOff>
      <xdr:row>12</xdr:row>
      <xdr:rowOff>152280</xdr:rowOff>
    </xdr:from>
    <xdr:to>
      <xdr:col>14</xdr:col>
      <xdr:colOff>857880</xdr:colOff>
      <xdr:row>15</xdr:row>
      <xdr:rowOff>170280</xdr:rowOff>
    </xdr:to>
    <xdr:sp>
      <xdr:nvSpPr>
        <xdr:cNvPr id="6" name="Shape 5"/>
        <xdr:cNvSpPr/>
      </xdr:nvSpPr>
      <xdr:spPr>
        <a:xfrm>
          <a:off x="13863240" y="2552400"/>
          <a:ext cx="1573560" cy="618120"/>
        </a:xfrm>
        <a:prstGeom prst="roundRect">
          <a:avLst>
            <a:gd name="adj" fmla="val 16667"/>
          </a:avLst>
        </a:prstGeom>
        <a:solidFill>
          <a:srgbClr val="d9ead3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Спросили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27</xdr:row>
      <xdr:rowOff>162000</xdr:rowOff>
    </xdr:from>
    <xdr:to>
      <xdr:col>8</xdr:col>
      <xdr:colOff>228960</xdr:colOff>
      <xdr:row>31</xdr:row>
      <xdr:rowOff>189360</xdr:rowOff>
    </xdr:to>
    <xdr:sp>
      <xdr:nvSpPr>
        <xdr:cNvPr id="7" name="Shape 6"/>
        <xdr:cNvSpPr/>
      </xdr:nvSpPr>
      <xdr:spPr>
        <a:xfrm>
          <a:off x="4415040" y="5562360"/>
          <a:ext cx="1789560" cy="827640"/>
        </a:xfrm>
        <a:prstGeom prst="roundRect">
          <a:avLst>
            <a:gd name="adj" fmla="val 16667"/>
          </a:avLst>
        </a:prstGeom>
        <a:solidFill>
          <a:srgbClr val="cfe2f3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800" spc="-1" strike="noStrike">
              <a:latin typeface="Times New Roman"/>
            </a:rPr>
            <a:t>Был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257040</xdr:colOff>
      <xdr:row>27</xdr:row>
      <xdr:rowOff>190440</xdr:rowOff>
    </xdr:from>
    <xdr:to>
      <xdr:col>14</xdr:col>
      <xdr:colOff>987840</xdr:colOff>
      <xdr:row>32</xdr:row>
      <xdr:rowOff>36720</xdr:rowOff>
    </xdr:to>
    <xdr:sp>
      <xdr:nvSpPr>
        <xdr:cNvPr id="8" name="Shape 7"/>
        <xdr:cNvSpPr/>
      </xdr:nvSpPr>
      <xdr:spPr>
        <a:xfrm>
          <a:off x="7320600" y="5590800"/>
          <a:ext cx="1818720" cy="846720"/>
        </a:xfrm>
        <a:prstGeom prst="roundRect">
          <a:avLst>
            <a:gd name="adj" fmla="val 16667"/>
          </a:avLst>
        </a:prstGeom>
        <a:solidFill>
          <a:srgbClr val="f6b26b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800" spc="-1" strike="noStrike">
              <a:latin typeface="Times New Roman"/>
            </a:rPr>
            <a:t>Не был</a:t>
          </a:r>
          <a:endParaRPr b="0" lang="en-US" sz="18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428760</xdr:colOff>
      <xdr:row>0</xdr:row>
      <xdr:rowOff>152280</xdr:rowOff>
    </xdr:from>
    <xdr:to>
      <xdr:col>13</xdr:col>
      <xdr:colOff>115920</xdr:colOff>
      <xdr:row>18</xdr:row>
      <xdr:rowOff>84600</xdr:rowOff>
    </xdr:to>
    <xdr:graphicFrame>
      <xdr:nvGraphicFramePr>
        <xdr:cNvPr id="9" name="Chart 5"/>
        <xdr:cNvGraphicFramePr/>
      </xdr:nvGraphicFramePr>
      <xdr:xfrm>
        <a:off x="5530680" y="152280"/>
        <a:ext cx="572688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409680</xdr:colOff>
      <xdr:row>18</xdr:row>
      <xdr:rowOff>171360</xdr:rowOff>
    </xdr:from>
    <xdr:to>
      <xdr:col>13</xdr:col>
      <xdr:colOff>96840</xdr:colOff>
      <xdr:row>36</xdr:row>
      <xdr:rowOff>103680</xdr:rowOff>
    </xdr:to>
    <xdr:graphicFrame>
      <xdr:nvGraphicFramePr>
        <xdr:cNvPr id="10" name="Chart 6"/>
        <xdr:cNvGraphicFramePr/>
      </xdr:nvGraphicFramePr>
      <xdr:xfrm>
        <a:off x="5511600" y="3771720"/>
        <a:ext cx="572688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vk.com/agent024" TargetMode="External"/><Relationship Id="rId2" Type="http://schemas.openxmlformats.org/officeDocument/2006/relationships/hyperlink" Target="http://vk.com/id326623716" TargetMode="External"/><Relationship Id="rId3" Type="http://schemas.openxmlformats.org/officeDocument/2006/relationships/hyperlink" Target="http://vk.com/loiwwer" TargetMode="External"/><Relationship Id="rId4" Type="http://schemas.openxmlformats.org/officeDocument/2006/relationships/hyperlink" Target="http://vk.com/id400485657" TargetMode="External"/><Relationship Id="rId5" Type="http://schemas.openxmlformats.org/officeDocument/2006/relationships/hyperlink" Target="http://vk.com/id288643683" TargetMode="External"/><Relationship Id="rId6" Type="http://schemas.openxmlformats.org/officeDocument/2006/relationships/hyperlink" Target="http://vk.com/umnayshe4ka" TargetMode="External"/><Relationship Id="rId7" Type="http://schemas.openxmlformats.org/officeDocument/2006/relationships/hyperlink" Target="http://vk.com/ivan_vachev" TargetMode="External"/><Relationship Id="rId8" Type="http://schemas.openxmlformats.org/officeDocument/2006/relationships/hyperlink" Target="http://vk.com/sevastyanp" TargetMode="External"/><Relationship Id="rId9" Type="http://schemas.openxmlformats.org/officeDocument/2006/relationships/hyperlink" Target="http://vk.com/luckea" TargetMode="External"/><Relationship Id="rId10" Type="http://schemas.openxmlformats.org/officeDocument/2006/relationships/hyperlink" Target="http://vk.com/obeloz" TargetMode="External"/><Relationship Id="rId11" Type="http://schemas.openxmlformats.org/officeDocument/2006/relationships/hyperlink" Target="http://vk.com/evverything_is_allowed" TargetMode="External"/><Relationship Id="rId12" Type="http://schemas.openxmlformats.org/officeDocument/2006/relationships/hyperlink" Target="http://vk.com/lololen.gobz" TargetMode="External"/><Relationship Id="rId13" Type="http://schemas.openxmlformats.org/officeDocument/2006/relationships/hyperlink" Target="http://vk.com/id248288690" TargetMode="External"/><Relationship Id="rId14" Type="http://schemas.openxmlformats.org/officeDocument/2006/relationships/hyperlink" Target="http://vk.com/id186803102" TargetMode="External"/><Relationship Id="rId15" Type="http://schemas.openxmlformats.org/officeDocument/2006/relationships/hyperlink" Target="http://vk.com/username1908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vk.com/id243002488" TargetMode="External"/><Relationship Id="rId2" Type="http://schemas.openxmlformats.org/officeDocument/2006/relationships/hyperlink" Target="http://vk.com/obeloz" TargetMode="External"/><Relationship Id="rId3" Type="http://schemas.openxmlformats.org/officeDocument/2006/relationships/hyperlink" Target="http://vk.com/fogo_f" TargetMode="External"/><Relationship Id="rId4" Type="http://schemas.openxmlformats.org/officeDocument/2006/relationships/hyperlink" Target="http://vk.com/id377773056" TargetMode="External"/><Relationship Id="rId5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vk.com/id293021806" TargetMode="External"/><Relationship Id="rId2" Type="http://schemas.openxmlformats.org/officeDocument/2006/relationships/hyperlink" Target="http://vk.com/id326623716" TargetMode="External"/><Relationship Id="rId3" Type="http://schemas.openxmlformats.org/officeDocument/2006/relationships/hyperlink" Target="http://vk.com/tillid" TargetMode="External"/><Relationship Id="rId4" Type="http://schemas.openxmlformats.org/officeDocument/2006/relationships/hyperlink" Target="http://vk.com/juliya___z" TargetMode="External"/><Relationship Id="rId5" Type="http://schemas.openxmlformats.org/officeDocument/2006/relationships/hyperlink" Target="http://vk.com/loiwwer" TargetMode="External"/><Relationship Id="rId6" Type="http://schemas.openxmlformats.org/officeDocument/2006/relationships/hyperlink" Target="http://vk.com/idiamolya" TargetMode="External"/><Relationship Id="rId7" Type="http://schemas.openxmlformats.org/officeDocument/2006/relationships/hyperlink" Target="http://vk.com/anitastashevskaya" TargetMode="External"/><Relationship Id="rId8" Type="http://schemas.openxmlformats.org/officeDocument/2006/relationships/hyperlink" Target="http://vk.com/id281300280" TargetMode="External"/><Relationship Id="rId9" Type="http://schemas.openxmlformats.org/officeDocument/2006/relationships/hyperlink" Target="http://vk.com/shefat" TargetMode="External"/><Relationship Id="rId10" Type="http://schemas.openxmlformats.org/officeDocument/2006/relationships/hyperlink" Target="http://vk.com/id189704537" TargetMode="External"/><Relationship Id="rId11" Type="http://schemas.openxmlformats.org/officeDocument/2006/relationships/hyperlink" Target="http://vk.com/werrewqr" TargetMode="External"/><Relationship Id="rId12" Type="http://schemas.openxmlformats.org/officeDocument/2006/relationships/hyperlink" Target="http://vk.com/obeloz" TargetMode="External"/><Relationship Id="rId13" Type="http://schemas.openxmlformats.org/officeDocument/2006/relationships/hyperlink" Target="http://vk.com/akushnareva2000" TargetMode="External"/><Relationship Id="rId14" Type="http://schemas.openxmlformats.org/officeDocument/2006/relationships/hyperlink" Target="http://vk.com/svandrith" TargetMode="External"/><Relationship Id="rId15" Type="http://schemas.openxmlformats.org/officeDocument/2006/relationships/hyperlink" Target="http://vk.com/id163053104" TargetMode="External"/><Relationship Id="rId16" Type="http://schemas.openxmlformats.org/officeDocument/2006/relationships/hyperlink" Target="http://vk.com/id149548495" TargetMode="External"/><Relationship Id="rId17" Type="http://schemas.openxmlformats.org/officeDocument/2006/relationships/hyperlink" Target="http://vk.com/lololen.gobz" TargetMode="External"/><Relationship Id="rId18" Type="http://schemas.openxmlformats.org/officeDocument/2006/relationships/hyperlink" Target="http://vk.com/id189813664" TargetMode="External"/><Relationship Id="rId19" Type="http://schemas.openxmlformats.org/officeDocument/2006/relationships/hyperlink" Target="http://vk.com/anna.kurbatova99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vk.com/id243002488" TargetMode="Externa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vk.com/agent024" TargetMode="External"/><Relationship Id="rId2" Type="http://schemas.openxmlformats.org/officeDocument/2006/relationships/hyperlink" Target="https://vk.com/id55040621" TargetMode="External"/><Relationship Id="rId3" Type="http://schemas.openxmlformats.org/officeDocument/2006/relationships/hyperlink" Target="https://m.vk.com/alisatemereva" TargetMode="External"/><Relationship Id="rId4" Type="http://schemas.openxmlformats.org/officeDocument/2006/relationships/hyperlink" Target="https://m.vk.com/alisatemereva" TargetMode="External"/><Relationship Id="rId5" Type="http://schemas.openxmlformats.org/officeDocument/2006/relationships/hyperlink" Target="http://vk.com/id206813526" TargetMode="External"/><Relationship Id="rId6" Type="http://schemas.openxmlformats.org/officeDocument/2006/relationships/hyperlink" Target="https://vk.com/jess41359473" TargetMode="External"/><Relationship Id="rId7" Type="http://schemas.openxmlformats.org/officeDocument/2006/relationships/hyperlink" Target="http://vk.com/id293021806" TargetMode="External"/><Relationship Id="rId8" Type="http://schemas.openxmlformats.org/officeDocument/2006/relationships/hyperlink" Target="http://vk.com/id326623716" TargetMode="External"/><Relationship Id="rId9" Type="http://schemas.openxmlformats.org/officeDocument/2006/relationships/hyperlink" Target="http://vk.com/id402259781" TargetMode="External"/><Relationship Id="rId10" Type="http://schemas.openxmlformats.org/officeDocument/2006/relationships/hyperlink" Target="http://vk.com/tillid" TargetMode="External"/><Relationship Id="rId11" Type="http://schemas.openxmlformats.org/officeDocument/2006/relationships/hyperlink" Target="https://vk.com/juliya___z" TargetMode="External"/><Relationship Id="rId12" Type="http://schemas.openxmlformats.org/officeDocument/2006/relationships/hyperlink" Target="http://vk.com/id166902078" TargetMode="External"/><Relationship Id="rId13" Type="http://schemas.openxmlformats.org/officeDocument/2006/relationships/hyperlink" Target="https://vk.com/loiwwer" TargetMode="External"/><Relationship Id="rId14" Type="http://schemas.openxmlformats.org/officeDocument/2006/relationships/hyperlink" Target="http://vk.com/idiamolya" TargetMode="External"/><Relationship Id="rId15" Type="http://schemas.openxmlformats.org/officeDocument/2006/relationships/hyperlink" Target="https://vk.com/id354871101" TargetMode="External"/><Relationship Id="rId16" Type="http://schemas.openxmlformats.org/officeDocument/2006/relationships/hyperlink" Target="https://vk.com/id305699141" TargetMode="External"/><Relationship Id="rId17" Type="http://schemas.openxmlformats.org/officeDocument/2006/relationships/hyperlink" Target="https://vk.com/id400485657" TargetMode="External"/><Relationship Id="rId18" Type="http://schemas.openxmlformats.org/officeDocument/2006/relationships/hyperlink" Target="http://vk.com/id157850061" TargetMode="External"/><Relationship Id="rId19" Type="http://schemas.openxmlformats.org/officeDocument/2006/relationships/hyperlink" Target="https://vk.com/liza06082000" TargetMode="External"/><Relationship Id="rId20" Type="http://schemas.openxmlformats.org/officeDocument/2006/relationships/hyperlink" Target="https://vk.com/lozhnikov_victor" TargetMode="External"/><Relationship Id="rId21" Type="http://schemas.openxmlformats.org/officeDocument/2006/relationships/hyperlink" Target="http://vk.com/sermon.kokosov" TargetMode="External"/><Relationship Id="rId22" Type="http://schemas.openxmlformats.org/officeDocument/2006/relationships/hyperlink" Target="https://vk.com/id81616591" TargetMode="External"/><Relationship Id="rId23" Type="http://schemas.openxmlformats.org/officeDocument/2006/relationships/hyperlink" Target="https://vk.com/tsyndukov" TargetMode="External"/><Relationship Id="rId24" Type="http://schemas.openxmlformats.org/officeDocument/2006/relationships/hyperlink" Target="https://m.vk.com/id99314292" TargetMode="External"/><Relationship Id="rId25" Type="http://schemas.openxmlformats.org/officeDocument/2006/relationships/hyperlink" Target="https://vk.com/damaskyoutube" TargetMode="External"/><Relationship Id="rId26" Type="http://schemas.openxmlformats.org/officeDocument/2006/relationships/hyperlink" Target="https://m.vk.com/id198934365" TargetMode="External"/><Relationship Id="rId27" Type="http://schemas.openxmlformats.org/officeDocument/2006/relationships/hyperlink" Target="https://vk.com/anitastashevskaya" TargetMode="External"/><Relationship Id="rId28" Type="http://schemas.openxmlformats.org/officeDocument/2006/relationships/hyperlink" Target="http://vk.com/id281300280" TargetMode="External"/><Relationship Id="rId29" Type="http://schemas.openxmlformats.org/officeDocument/2006/relationships/hyperlink" Target="https://vk.com/zuzukidze" TargetMode="External"/><Relationship Id="rId30" Type="http://schemas.openxmlformats.org/officeDocument/2006/relationships/hyperlink" Target="https://vk.com/zhenek1979" TargetMode="External"/><Relationship Id="rId31" Type="http://schemas.openxmlformats.org/officeDocument/2006/relationships/hyperlink" Target="https://vk.com/alenushkaa_a" TargetMode="External"/><Relationship Id="rId32" Type="http://schemas.openxmlformats.org/officeDocument/2006/relationships/hyperlink" Target="https://vk.com/yulyabalakina" TargetMode="External"/><Relationship Id="rId33" Type="http://schemas.openxmlformats.org/officeDocument/2006/relationships/hyperlink" Target="http://vk.com/dref55" TargetMode="External"/><Relationship Id="rId34" Type="http://schemas.openxmlformats.org/officeDocument/2006/relationships/hyperlink" Target="http://vk.com/shefat" TargetMode="External"/><Relationship Id="rId35" Type="http://schemas.openxmlformats.org/officeDocument/2006/relationships/hyperlink" Target="http://vk.com/id183332969" TargetMode="External"/><Relationship Id="rId36" Type="http://schemas.openxmlformats.org/officeDocument/2006/relationships/hyperlink" Target="https://vk.com/pkeltsev" TargetMode="External"/><Relationship Id="rId37" Type="http://schemas.openxmlformats.org/officeDocument/2006/relationships/hyperlink" Target="http://vk.com/id209670944" TargetMode="External"/><Relationship Id="rId38" Type="http://schemas.openxmlformats.org/officeDocument/2006/relationships/hyperlink" Target="https://vk.com/id288643683" TargetMode="External"/><Relationship Id="rId39" Type="http://schemas.openxmlformats.org/officeDocument/2006/relationships/hyperlink" Target="https://vk.com/umnayshe4ka" TargetMode="External"/><Relationship Id="rId40" Type="http://schemas.openxmlformats.org/officeDocument/2006/relationships/hyperlink" Target="http://vk.com/ivan_vachev" TargetMode="External"/><Relationship Id="rId41" Type="http://schemas.openxmlformats.org/officeDocument/2006/relationships/hyperlink" Target="https://vk.com/zolotadmitriy" TargetMode="External"/><Relationship Id="rId42" Type="http://schemas.openxmlformats.org/officeDocument/2006/relationships/hyperlink" Target="http://vk.com/sevastyanp" TargetMode="External"/><Relationship Id="rId43" Type="http://schemas.openxmlformats.org/officeDocument/2006/relationships/hyperlink" Target="http://vk.com/luckea" TargetMode="External"/><Relationship Id="rId44" Type="http://schemas.openxmlformats.org/officeDocument/2006/relationships/hyperlink" Target="http://vk.com/yan_vyazem" TargetMode="External"/><Relationship Id="rId45" Type="http://schemas.openxmlformats.org/officeDocument/2006/relationships/hyperlink" Target="https://vk.com/id189704537" TargetMode="External"/><Relationship Id="rId46" Type="http://schemas.openxmlformats.org/officeDocument/2006/relationships/hyperlink" Target="http://vk.com/unfraid" TargetMode="External"/><Relationship Id="rId47" Type="http://schemas.openxmlformats.org/officeDocument/2006/relationships/hyperlink" Target="https://m.vk.com/georgela" TargetMode="External"/><Relationship Id="rId48" Type="http://schemas.openxmlformats.org/officeDocument/2006/relationships/hyperlink" Target="https://vk.com/id157847345" TargetMode="External"/><Relationship Id="rId49" Type="http://schemas.openxmlformats.org/officeDocument/2006/relationships/hyperlink" Target="http://vk.com/danil.ryabtsev" TargetMode="External"/><Relationship Id="rId50" Type="http://schemas.openxmlformats.org/officeDocument/2006/relationships/hyperlink" Target="https://m.vk.com/id136665279" TargetMode="External"/><Relationship Id="rId51" Type="http://schemas.openxmlformats.org/officeDocument/2006/relationships/hyperlink" Target="https://vk.com/werrewqr" TargetMode="External"/><Relationship Id="rId52" Type="http://schemas.openxmlformats.org/officeDocument/2006/relationships/hyperlink" Target="https://vk.com/idannromm" TargetMode="External"/><Relationship Id="rId53" Type="http://schemas.openxmlformats.org/officeDocument/2006/relationships/hyperlink" Target="https://vk.com/mr_ukropchik" TargetMode="External"/><Relationship Id="rId54" Type="http://schemas.openxmlformats.org/officeDocument/2006/relationships/hyperlink" Target="http://vk.com/obeloz" TargetMode="External"/><Relationship Id="rId55" Type="http://schemas.openxmlformats.org/officeDocument/2006/relationships/hyperlink" Target="https://vk.com/evverything_is_allowed" TargetMode="External"/><Relationship Id="rId56" Type="http://schemas.openxmlformats.org/officeDocument/2006/relationships/hyperlink" Target="https://vk.com/fogo_f" TargetMode="External"/><Relationship Id="rId57" Type="http://schemas.openxmlformats.org/officeDocument/2006/relationships/hyperlink" Target="https://vk.com/id377773056" TargetMode="External"/><Relationship Id="rId58" Type="http://schemas.openxmlformats.org/officeDocument/2006/relationships/hyperlink" Target="https://vk.com/id377773056" TargetMode="External"/><Relationship Id="rId59" Type="http://schemas.openxmlformats.org/officeDocument/2006/relationships/hyperlink" Target="http://vk.com/id316784802" TargetMode="External"/><Relationship Id="rId60" Type="http://schemas.openxmlformats.org/officeDocument/2006/relationships/hyperlink" Target="http://vk.com/ekweis" TargetMode="External"/><Relationship Id="rId61" Type="http://schemas.openxmlformats.org/officeDocument/2006/relationships/hyperlink" Target="https://vk.com/m.arkushenko" TargetMode="External"/><Relationship Id="rId62" Type="http://schemas.openxmlformats.org/officeDocument/2006/relationships/hyperlink" Target="http://vk.com/boulygin" TargetMode="External"/><Relationship Id="rId63" Type="http://schemas.openxmlformats.org/officeDocument/2006/relationships/hyperlink" Target="http://vk.com/agarbus2003" TargetMode="External"/><Relationship Id="rId64" Type="http://schemas.openxmlformats.org/officeDocument/2006/relationships/hyperlink" Target="http://vk.com/akushnareva2000" TargetMode="External"/><Relationship Id="rId65" Type="http://schemas.openxmlformats.org/officeDocument/2006/relationships/hyperlink" Target="https://vk.com/svandrith" TargetMode="External"/><Relationship Id="rId66" Type="http://schemas.openxmlformats.org/officeDocument/2006/relationships/hyperlink" Target="https://m.vk.com/id262530619" TargetMode="External"/><Relationship Id="rId67" Type="http://schemas.openxmlformats.org/officeDocument/2006/relationships/hyperlink" Target="https://vk.com/id269312243" TargetMode="External"/><Relationship Id="rId68" Type="http://schemas.openxmlformats.org/officeDocument/2006/relationships/hyperlink" Target="http://vk.com/id150796947" TargetMode="External"/><Relationship Id="rId69" Type="http://schemas.openxmlformats.org/officeDocument/2006/relationships/hyperlink" Target="http://vk.com/tanya080900" TargetMode="External"/><Relationship Id="rId70" Type="http://schemas.openxmlformats.org/officeDocument/2006/relationships/hyperlink" Target="https://vk.com/id163053104" TargetMode="External"/><Relationship Id="rId71" Type="http://schemas.openxmlformats.org/officeDocument/2006/relationships/hyperlink" Target="http://vk.com/y.kulichenko" TargetMode="External"/><Relationship Id="rId72" Type="http://schemas.openxmlformats.org/officeDocument/2006/relationships/hyperlink" Target="http://vk.com/bellakey" TargetMode="External"/><Relationship Id="rId73" Type="http://schemas.openxmlformats.org/officeDocument/2006/relationships/hyperlink" Target="http://vk.com/id336544709" TargetMode="External"/><Relationship Id="rId74" Type="http://schemas.openxmlformats.org/officeDocument/2006/relationships/hyperlink" Target="http://vk.com/id149548495" TargetMode="External"/><Relationship Id="rId75" Type="http://schemas.openxmlformats.org/officeDocument/2006/relationships/hyperlink" Target="https://vk.com/id249818753" TargetMode="External"/><Relationship Id="rId76" Type="http://schemas.openxmlformats.org/officeDocument/2006/relationships/hyperlink" Target="https://vk.com/masya_st" TargetMode="External"/><Relationship Id="rId77" Type="http://schemas.openxmlformats.org/officeDocument/2006/relationships/hyperlink" Target="http://vk.com/sergey80401" TargetMode="External"/><Relationship Id="rId78" Type="http://schemas.openxmlformats.org/officeDocument/2006/relationships/hyperlink" Target="https://m.vk.com/lololen.gobz" TargetMode="External"/><Relationship Id="rId79" Type="http://schemas.openxmlformats.org/officeDocument/2006/relationships/hyperlink" Target="http://vk.com/id383760243" TargetMode="External"/><Relationship Id="rId80" Type="http://schemas.openxmlformats.org/officeDocument/2006/relationships/hyperlink" Target="https://vk.com/id162562572" TargetMode="External"/><Relationship Id="rId81" Type="http://schemas.openxmlformats.org/officeDocument/2006/relationships/hyperlink" Target="http://vk.com/anna_dolgova2004" TargetMode="External"/><Relationship Id="rId82" Type="http://schemas.openxmlformats.org/officeDocument/2006/relationships/hyperlink" Target="https://vk.com/id411925471" TargetMode="External"/><Relationship Id="rId83" Type="http://schemas.openxmlformats.org/officeDocument/2006/relationships/hyperlink" Target="https://m.vk.com/id313977338" TargetMode="External"/><Relationship Id="rId84" Type="http://schemas.openxmlformats.org/officeDocument/2006/relationships/hyperlink" Target="https://vk.com/id153731120" TargetMode="External"/><Relationship Id="rId85" Type="http://schemas.openxmlformats.org/officeDocument/2006/relationships/hyperlink" Target="https://vk.com/velkonost" TargetMode="External"/><Relationship Id="rId86" Type="http://schemas.openxmlformats.org/officeDocument/2006/relationships/hyperlink" Target="https://m.vk.com/demenkovalexey" TargetMode="External"/><Relationship Id="rId87" Type="http://schemas.openxmlformats.org/officeDocument/2006/relationships/hyperlink" Target="https://vk.com/d.rudskikh" TargetMode="External"/><Relationship Id="rId88" Type="http://schemas.openxmlformats.org/officeDocument/2006/relationships/hyperlink" Target="https://vk.com/id179533793" TargetMode="External"/><Relationship Id="rId89" Type="http://schemas.openxmlformats.org/officeDocument/2006/relationships/hyperlink" Target="https://vk.com/grichkoedova" TargetMode="External"/><Relationship Id="rId90" Type="http://schemas.openxmlformats.org/officeDocument/2006/relationships/hyperlink" Target="https://vk.com/juliarrrrrx" TargetMode="External"/><Relationship Id="rId91" Type="http://schemas.openxmlformats.org/officeDocument/2006/relationships/hyperlink" Target="https://vk.com/id336544709" TargetMode="External"/><Relationship Id="rId92" Type="http://schemas.openxmlformats.org/officeDocument/2006/relationships/hyperlink" Target="https://vk.com/science_tk" TargetMode="External"/><Relationship Id="rId93" Type="http://schemas.openxmlformats.org/officeDocument/2006/relationships/hyperlink" Target="https://vk.com/id248288690" TargetMode="External"/><Relationship Id="rId94" Type="http://schemas.openxmlformats.org/officeDocument/2006/relationships/hyperlink" Target="https://vk.com/id352280379" TargetMode="External"/><Relationship Id="rId95" Type="http://schemas.openxmlformats.org/officeDocument/2006/relationships/hyperlink" Target="https://vk.com/vlicharovski" TargetMode="External"/><Relationship Id="rId96" Type="http://schemas.openxmlformats.org/officeDocument/2006/relationships/hyperlink" Target="http://vk.com/andrezolnikov" TargetMode="External"/><Relationship Id="rId97" Type="http://schemas.openxmlformats.org/officeDocument/2006/relationships/hyperlink" Target="https://vk.com/uhhkjg78ygh" TargetMode="External"/><Relationship Id="rId98" Type="http://schemas.openxmlformats.org/officeDocument/2006/relationships/hyperlink" Target="https://vk.com/vrnkvknn" TargetMode="External"/><Relationship Id="rId99" Type="http://schemas.openxmlformats.org/officeDocument/2006/relationships/hyperlink" Target="https://vk.com/ddp102f" TargetMode="External"/><Relationship Id="rId100" Type="http://schemas.openxmlformats.org/officeDocument/2006/relationships/hyperlink" Target="https://vk.com/mara.rina" TargetMode="External"/><Relationship Id="rId101" Type="http://schemas.openxmlformats.org/officeDocument/2006/relationships/hyperlink" Target="http://vk.com/id382406601" TargetMode="External"/><Relationship Id="rId102" Type="http://schemas.openxmlformats.org/officeDocument/2006/relationships/hyperlink" Target="https://vk.com/id403901742" TargetMode="External"/><Relationship Id="rId103" Type="http://schemas.openxmlformats.org/officeDocument/2006/relationships/hyperlink" Target="http://vk.com/id276675815" TargetMode="External"/><Relationship Id="rId104" Type="http://schemas.openxmlformats.org/officeDocument/2006/relationships/hyperlink" Target="http://vk.com/darya.pirogova" TargetMode="External"/><Relationship Id="rId105" Type="http://schemas.openxmlformats.org/officeDocument/2006/relationships/hyperlink" Target="http://vk.com/id382406601" TargetMode="External"/><Relationship Id="rId106" Type="http://schemas.openxmlformats.org/officeDocument/2006/relationships/hyperlink" Target="http://vk.com/id186803102" TargetMode="External"/><Relationship Id="rId107" Type="http://schemas.openxmlformats.org/officeDocument/2006/relationships/hyperlink" Target="https://vk.com/aderkach2017" TargetMode="External"/><Relationship Id="rId108" Type="http://schemas.openxmlformats.org/officeDocument/2006/relationships/hyperlink" Target="http://vk.com/id172201719" TargetMode="External"/><Relationship Id="rId109" Type="http://schemas.openxmlformats.org/officeDocument/2006/relationships/hyperlink" Target="https://vk.com/id303071470" TargetMode="External"/><Relationship Id="rId110" Type="http://schemas.openxmlformats.org/officeDocument/2006/relationships/hyperlink" Target="https://vk.com/sadmaris" TargetMode="External"/><Relationship Id="rId111" Type="http://schemas.openxmlformats.org/officeDocument/2006/relationships/hyperlink" Target="http://vk.com/id340132670" TargetMode="External"/><Relationship Id="rId112" Type="http://schemas.openxmlformats.org/officeDocument/2006/relationships/hyperlink" Target="https://vk.com/id189813664" TargetMode="External"/><Relationship Id="rId113" Type="http://schemas.openxmlformats.org/officeDocument/2006/relationships/hyperlink" Target="https://vk.com/id411925471" TargetMode="External"/><Relationship Id="rId114" Type="http://schemas.openxmlformats.org/officeDocument/2006/relationships/hyperlink" Target="http://vk.com/neko_murr" TargetMode="External"/><Relationship Id="rId115" Type="http://schemas.openxmlformats.org/officeDocument/2006/relationships/hyperlink" Target="https://vk.com/anna.kurbatova99" TargetMode="External"/><Relationship Id="rId116" Type="http://schemas.openxmlformats.org/officeDocument/2006/relationships/hyperlink" Target="https://vk.com/id312748553" TargetMode="External"/><Relationship Id="rId117" Type="http://schemas.openxmlformats.org/officeDocument/2006/relationships/hyperlink" Target="https://vk.com/lzheldak" TargetMode="External"/><Relationship Id="rId118" Type="http://schemas.openxmlformats.org/officeDocument/2006/relationships/hyperlink" Target="https://vk.com/username1908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vk.com/id206813526" TargetMode="External"/><Relationship Id="rId2" Type="http://schemas.openxmlformats.org/officeDocument/2006/relationships/hyperlink" Target="http://vk.com/id402259781" TargetMode="External"/><Relationship Id="rId3" Type="http://schemas.openxmlformats.org/officeDocument/2006/relationships/hyperlink" Target="http://vk.com/juliya___z" TargetMode="External"/><Relationship Id="rId4" Type="http://schemas.openxmlformats.org/officeDocument/2006/relationships/hyperlink" Target="http://vk.com/id166902078" TargetMode="External"/><Relationship Id="rId5" Type="http://schemas.openxmlformats.org/officeDocument/2006/relationships/hyperlink" Target="http://vk.com/idiamolya" TargetMode="External"/><Relationship Id="rId6" Type="http://schemas.openxmlformats.org/officeDocument/2006/relationships/hyperlink" Target="http://vk.com/id305699141" TargetMode="External"/><Relationship Id="rId7" Type="http://schemas.openxmlformats.org/officeDocument/2006/relationships/hyperlink" Target="http://vk.com/lozhnikov_victor" TargetMode="External"/><Relationship Id="rId8" Type="http://schemas.openxmlformats.org/officeDocument/2006/relationships/hyperlink" Target="http://vk.com/damaskyoutube" TargetMode="External"/><Relationship Id="rId9" Type="http://schemas.openxmlformats.org/officeDocument/2006/relationships/hyperlink" Target="http://vk.com/anitastashevskaya" TargetMode="External"/><Relationship Id="rId10" Type="http://schemas.openxmlformats.org/officeDocument/2006/relationships/hyperlink" Target="http://vk.com/zhenek1979" TargetMode="External"/><Relationship Id="rId11" Type="http://schemas.openxmlformats.org/officeDocument/2006/relationships/hyperlink" Target="http://vk.com/alenushkaa_a" TargetMode="External"/><Relationship Id="rId12" Type="http://schemas.openxmlformats.org/officeDocument/2006/relationships/hyperlink" Target="http://vk.com/shefat" TargetMode="External"/><Relationship Id="rId13" Type="http://schemas.openxmlformats.org/officeDocument/2006/relationships/hyperlink" Target="http://vk.com/id183332969" TargetMode="External"/><Relationship Id="rId14" Type="http://schemas.openxmlformats.org/officeDocument/2006/relationships/hyperlink" Target="http://vk.com/pkeltsev" TargetMode="External"/><Relationship Id="rId15" Type="http://schemas.openxmlformats.org/officeDocument/2006/relationships/hyperlink" Target="http://vk.com/unfraid" TargetMode="External"/><Relationship Id="rId16" Type="http://schemas.openxmlformats.org/officeDocument/2006/relationships/hyperlink" Target="http://vk.com/id157847345" TargetMode="External"/><Relationship Id="rId17" Type="http://schemas.openxmlformats.org/officeDocument/2006/relationships/hyperlink" Target="http://vk.com/fogo_f" TargetMode="External"/><Relationship Id="rId18" Type="http://schemas.openxmlformats.org/officeDocument/2006/relationships/hyperlink" Target="http://vk.com/id316784802" TargetMode="External"/><Relationship Id="rId19" Type="http://schemas.openxmlformats.org/officeDocument/2006/relationships/hyperlink" Target="http://vk.com/ekweis" TargetMode="External"/><Relationship Id="rId20" Type="http://schemas.openxmlformats.org/officeDocument/2006/relationships/hyperlink" Target="http://vk.com/agarbus2003" TargetMode="External"/><Relationship Id="rId21" Type="http://schemas.openxmlformats.org/officeDocument/2006/relationships/hyperlink" Target="http://vk.com/svandrith" TargetMode="External"/><Relationship Id="rId22" Type="http://schemas.openxmlformats.org/officeDocument/2006/relationships/hyperlink" Target="http://vk.com/id269312243" TargetMode="External"/><Relationship Id="rId23" Type="http://schemas.openxmlformats.org/officeDocument/2006/relationships/hyperlink" Target="http://vk.com/id149548495" TargetMode="External"/><Relationship Id="rId24" Type="http://schemas.openxmlformats.org/officeDocument/2006/relationships/hyperlink" Target="http://vk.com/id249818753" TargetMode="External"/><Relationship Id="rId25" Type="http://schemas.openxmlformats.org/officeDocument/2006/relationships/hyperlink" Target="http://vk.com/sergey80401" TargetMode="External"/><Relationship Id="rId26" Type="http://schemas.openxmlformats.org/officeDocument/2006/relationships/hyperlink" Target="http://vk.com/anna_dolgova2004" TargetMode="External"/><Relationship Id="rId27" Type="http://schemas.openxmlformats.org/officeDocument/2006/relationships/hyperlink" Target="http://vk.com/id153731120" TargetMode="External"/><Relationship Id="rId28" Type="http://schemas.openxmlformats.org/officeDocument/2006/relationships/hyperlink" Target="http://vk.com/grichkoedova" TargetMode="External"/><Relationship Id="rId29" Type="http://schemas.openxmlformats.org/officeDocument/2006/relationships/hyperlink" Target="http://vk.com/id403901742" TargetMode="External"/><Relationship Id="rId30" Type="http://schemas.openxmlformats.org/officeDocument/2006/relationships/hyperlink" Target="http://vk.com/aderkach2017" TargetMode="External"/><Relationship Id="rId31" Type="http://schemas.openxmlformats.org/officeDocument/2006/relationships/hyperlink" Target="http://vk.com/id189813664" TargetMode="External"/><Relationship Id="rId32" Type="http://schemas.openxmlformats.org/officeDocument/2006/relationships/hyperlink" Target="http://vk.com/id411925471" TargetMode="External"/><Relationship Id="rId33" Type="http://schemas.openxmlformats.org/officeDocument/2006/relationships/hyperlink" Target="http://vk.com/anna.kurbatova99" TargetMode="External"/><Relationship Id="rId34" Type="http://schemas.openxmlformats.org/officeDocument/2006/relationships/hyperlink" Target="http://vk.com/lzheldak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vk.com/juliya___z" TargetMode="External"/><Relationship Id="rId2" Type="http://schemas.openxmlformats.org/officeDocument/2006/relationships/hyperlink" Target="http://vk.com/idiamolya" TargetMode="External"/><Relationship Id="rId3" Type="http://schemas.openxmlformats.org/officeDocument/2006/relationships/hyperlink" Target="http://vk.com/anitastashevskaya" TargetMode="External"/><Relationship Id="rId4" Type="http://schemas.openxmlformats.org/officeDocument/2006/relationships/hyperlink" Target="http://vk.com/id281300280" TargetMode="External"/><Relationship Id="rId5" Type="http://schemas.openxmlformats.org/officeDocument/2006/relationships/hyperlink" Target="http://vk.com/shefat" TargetMode="External"/><Relationship Id="rId6" Type="http://schemas.openxmlformats.org/officeDocument/2006/relationships/hyperlink" Target="http://vk.com/akushnareva2000" TargetMode="External"/><Relationship Id="rId7" Type="http://schemas.openxmlformats.org/officeDocument/2006/relationships/hyperlink" Target="http://vk.com/svandrith" TargetMode="External"/><Relationship Id="rId8" Type="http://schemas.openxmlformats.org/officeDocument/2006/relationships/hyperlink" Target="http://vk.com/id149548495" TargetMode="External"/><Relationship Id="rId9" Type="http://schemas.openxmlformats.org/officeDocument/2006/relationships/hyperlink" Target="http://vk.com/id189813664" TargetMode="External"/><Relationship Id="rId10" Type="http://schemas.openxmlformats.org/officeDocument/2006/relationships/hyperlink" Target="http://vk.com/anna.kurbatova99" TargetMode="External"/><Relationship Id="rId11" Type="http://schemas.openxmlformats.org/officeDocument/2006/relationships/hyperlink" Target="http://vk.com/id209670944" TargetMode="External"/><Relationship Id="rId12" Type="http://schemas.openxmlformats.org/officeDocument/2006/relationships/hyperlink" Target="http://vk.com/m.arkushenko" TargetMode="External"/><Relationship Id="rId13" Type="http://schemas.openxmlformats.org/officeDocument/2006/relationships/hyperlink" Target="http://vk.com/jess41359473" TargetMode="External"/><Relationship Id="rId14" Type="http://schemas.openxmlformats.org/officeDocument/2006/relationships/hyperlink" Target="http://vk.com/tillid" TargetMode="External"/><Relationship Id="rId15" Type="http://schemas.openxmlformats.org/officeDocument/2006/relationships/hyperlink" Target="http://vk.com/liza06082000" TargetMode="External"/><Relationship Id="rId16" Type="http://schemas.openxmlformats.org/officeDocument/2006/relationships/hyperlink" Target="http://vk.com/dref55" TargetMode="External"/><Relationship Id="rId17" Type="http://schemas.openxmlformats.org/officeDocument/2006/relationships/hyperlink" Target="http://vk.com/yan_vyazem" TargetMode="External"/><Relationship Id="rId18" Type="http://schemas.openxmlformats.org/officeDocument/2006/relationships/hyperlink" Target="http://vk.com/danil.ryabtsev" TargetMode="External"/><Relationship Id="rId19" Type="http://schemas.openxmlformats.org/officeDocument/2006/relationships/hyperlink" Target="http://vk.com/m.arkushenko" TargetMode="External"/><Relationship Id="rId20" Type="http://schemas.openxmlformats.org/officeDocument/2006/relationships/hyperlink" Target="http://vk.com/id150796947" TargetMode="External"/><Relationship Id="rId21" Type="http://schemas.openxmlformats.org/officeDocument/2006/relationships/hyperlink" Target="http://vk.com/d.rudskikh" TargetMode="External"/><Relationship Id="rId22" Type="http://schemas.openxmlformats.org/officeDocument/2006/relationships/hyperlink" Target="http://vk.com/andrezolnikov" TargetMode="External"/><Relationship Id="rId23" Type="http://schemas.openxmlformats.org/officeDocument/2006/relationships/hyperlink" Target="http://vk.com/uhhkjg78ygh" TargetMode="External"/><Relationship Id="rId24" Type="http://schemas.openxmlformats.org/officeDocument/2006/relationships/hyperlink" Target="http://vk.com/ddp102f" TargetMode="External"/><Relationship Id="rId25" Type="http://schemas.openxmlformats.org/officeDocument/2006/relationships/hyperlink" Target="http://vk.com/id382406601" TargetMode="External"/><Relationship Id="rId26" Type="http://schemas.openxmlformats.org/officeDocument/2006/relationships/hyperlink" Target="http://vk.com/id276675815" TargetMode="External"/><Relationship Id="rId27" Type="http://schemas.openxmlformats.org/officeDocument/2006/relationships/hyperlink" Target="http://vk.com/id31274855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7"/>
  </cols>
  <sheetData>
    <row r="1" customFormat="false" ht="15.75" hidden="false" customHeight="false" outlineLevel="0" collapsed="false">
      <c r="A1" s="1" t="s">
        <v>0</v>
      </c>
      <c r="B1" s="1"/>
      <c r="E1" s="2" t="s">
        <v>1</v>
      </c>
    </row>
    <row r="2" customFormat="false" ht="15.75" hidden="false" customHeight="false" outlineLevel="0" collapsed="false">
      <c r="A2" s="3" t="s">
        <v>2</v>
      </c>
      <c r="B2" s="3"/>
      <c r="C2" s="3"/>
    </row>
    <row r="3" customFormat="false" ht="13.8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4" t="s">
        <v>11</v>
      </c>
      <c r="K3" s="4" t="s">
        <v>12</v>
      </c>
      <c r="L3" s="4" t="s">
        <v>13</v>
      </c>
    </row>
    <row r="4" customFormat="false" ht="15.75" hidden="false" customHeight="false" outlineLevel="0" collapsed="false">
      <c r="A4" s="5" t="n">
        <v>1</v>
      </c>
      <c r="B4" s="6" t="n">
        <f aca="false">IFERROR(__xludf.dummyfunction("FILTER('Переформатированный ответ'!$A$2:$K$184,ARRAYFORMULA((('Переформатированный ответ'!$I$2:$I$184 = A2)+('Переформатированный ответ'!$K$2:$K$184 &gt;-1)) = 2))"),42857.6792392477)</f>
        <v>42857.67924</v>
      </c>
      <c r="C4" s="0" t="str">
        <f aca="false">IFERROR(__xludf.dummyfunction("""COMPUTED_VALUE"""),"Власов")</f>
        <v>Власов</v>
      </c>
      <c r="D4" s="0" t="str">
        <f aca="false">IFERROR(__xludf.dummyfunction("""COMPUTED_VALUE"""),"Роман")</f>
        <v>Роман</v>
      </c>
      <c r="E4" s="0" t="n">
        <f aca="false">IFERROR(__xludf.dummyfunction("""COMPUTED_VALUE"""),8)</f>
        <v>8</v>
      </c>
      <c r="F4" s="7" t="str">
        <f aca="false">IFERROR(__xludf.dummyfunction("""COMPUTED_VALUE"""),"БОУ ОО МОЦРО 117")</f>
        <v>БОУ ОО МОЦРО 117</v>
      </c>
      <c r="H4" s="8" t="str">
        <f aca="false">IFERROR(__xludf.dummyfunction("""COMPUTED_VALUE"""),"vk.com/agent024")</f>
        <v>vk.com/agent024</v>
      </c>
      <c r="I4" s="0" t="str">
        <f aca="false">IFERROR(__xludf.dummyfunction("""COMPUTED_VALUE"""),"Optimys.prajm@mail.ru")</f>
        <v>Optimys.prajm@mail.ru</v>
      </c>
      <c r="J4" s="0" t="str">
        <f aca="false">IFERROR(__xludf.dummyfunction("""COMPUTED_VALUE"""),"Программирование(Свет)")</f>
        <v>Программирование(Свет)</v>
      </c>
      <c r="K4" s="0" t="str">
        <f aca="false">IFERROR(__xludf.dummyfunction("""COMPUTED_VALUE"""),"Математика(Кудык)")</f>
        <v>Математика(Кудык)</v>
      </c>
      <c r="L4" s="0" t="n">
        <f aca="false">IFERROR(__xludf.dummyfunction("""COMPUTED_VALUE"""),2)</f>
        <v>2</v>
      </c>
    </row>
    <row r="5" customFormat="false" ht="15.75" hidden="false" customHeight="false" outlineLevel="0" collapsed="false">
      <c r="A5" s="4" t="n">
        <v>2</v>
      </c>
      <c r="B5" s="6" t="n">
        <f aca="false">IFERROR(__xludf.dummyfunction("""COMPUTED_VALUE"""),42857.8258576389)</f>
        <v>42857.82586</v>
      </c>
      <c r="C5" s="0" t="str">
        <f aca="false">IFERROR(__xludf.dummyfunction("""COMPUTED_VALUE"""),"Прохоров")</f>
        <v>Прохоров</v>
      </c>
      <c r="D5" s="0" t="str">
        <f aca="false">IFERROR(__xludf.dummyfunction("""COMPUTED_VALUE"""),"Сергей")</f>
        <v>Сергей</v>
      </c>
      <c r="E5" s="0" t="n">
        <f aca="false">IFERROR(__xludf.dummyfunction("""COMPUTED_VALUE"""),7)</f>
        <v>7</v>
      </c>
      <c r="F5" s="7" t="str">
        <f aca="false">IFERROR(__xludf.dummyfunction("""COMPUTED_VALUE"""),"Гимназия 139")</f>
        <v>Гимназия 139</v>
      </c>
      <c r="H5" s="8" t="str">
        <f aca="false">IFERROR(__xludf.dummyfunction("""COMPUTED_VALUE"""),"vk.com/id326623716")</f>
        <v>vk.com/id326623716</v>
      </c>
      <c r="I5" s="0" t="str">
        <f aca="false">IFERROR(__xludf.dummyfunction("""COMPUTED_VALUE"""),"sergeypro@inbox.ru")</f>
        <v>sergeypro@inbox.ru</v>
      </c>
      <c r="J5" s="0" t="str">
        <f aca="false">IFERROR(__xludf.dummyfunction("""COMPUTED_VALUE"""),"Программирование(Свет)")</f>
        <v>Программирование(Свет)</v>
      </c>
      <c r="K5" s="0" t="str">
        <f aca="false">IFERROR(__xludf.dummyfunction("""COMPUTED_VALUE"""),"Физика(Шумаков)")</f>
        <v>Физика(Шумаков)</v>
      </c>
      <c r="L5" s="0" t="n">
        <f aca="false">IFERROR(__xludf.dummyfunction("""COMPUTED_VALUE"""),2)</f>
        <v>2</v>
      </c>
    </row>
    <row r="6" customFormat="false" ht="15.75" hidden="false" customHeight="false" outlineLevel="0" collapsed="false">
      <c r="A6" s="5" t="n">
        <v>3</v>
      </c>
      <c r="B6" s="6" t="n">
        <f aca="false">IFERROR(__xludf.dummyfunction("""COMPUTED_VALUE"""),42858.750765787)</f>
        <v>42858.75077</v>
      </c>
      <c r="C6" s="0" t="str">
        <f aca="false">IFERROR(__xludf.dummyfunction("""COMPUTED_VALUE"""),"Киямова")</f>
        <v>Киямова</v>
      </c>
      <c r="D6" s="0" t="str">
        <f aca="false">IFERROR(__xludf.dummyfunction("""COMPUTED_VALUE"""),"Наиля")</f>
        <v>Наиля</v>
      </c>
      <c r="E6" s="0" t="n">
        <f aca="false">IFERROR(__xludf.dummyfunction("""COMPUTED_VALUE"""),9)</f>
        <v>9</v>
      </c>
      <c r="F6" s="7" t="str">
        <f aca="false">IFERROR(__xludf.dummyfunction("""COMPUTED_VALUE"""),"лицей 64")</f>
        <v>лицей 64</v>
      </c>
      <c r="G6" s="0" t="str">
        <f aca="false">IFERROR(__xludf.dummyfunction("""COMPUTED_VALUE"""),"Могу не появляться на занятиях, но постараюсь без этого.")</f>
        <v>Могу не появляться на занятиях, но постараюсь без этого.</v>
      </c>
      <c r="H6" s="8" t="str">
        <f aca="false">IFERROR(__xludf.dummyfunction("""COMPUTED_VALUE"""),"vk.com/loiwwer")</f>
        <v>vk.com/loiwwer</v>
      </c>
      <c r="I6" s="0" t="str">
        <f aca="false">IFERROR(__xludf.dummyfunction("""COMPUTED_VALUE"""),"nkom5507@gmail.com")</f>
        <v>nkom5507@gmail.com</v>
      </c>
      <c r="J6" s="0" t="str">
        <f aca="false">IFERROR(__xludf.dummyfunction("""COMPUTED_VALUE"""),"Программирование(Свет)")</f>
        <v>Программирование(Свет)</v>
      </c>
      <c r="K6" s="0" t="str">
        <f aca="false">IFERROR(__xludf.dummyfunction("""COMPUTED_VALUE"""),"Физика(Шумаков)")</f>
        <v>Физика(Шумаков)</v>
      </c>
      <c r="L6" s="0" t="n">
        <f aca="false">IFERROR(__xludf.dummyfunction("""COMPUTED_VALUE"""),2)</f>
        <v>2</v>
      </c>
    </row>
    <row r="7" customFormat="false" ht="15.75" hidden="false" customHeight="false" outlineLevel="0" collapsed="false">
      <c r="A7" s="4" t="n">
        <v>4</v>
      </c>
      <c r="B7" s="6" t="n">
        <f aca="false">IFERROR(__xludf.dummyfunction("""COMPUTED_VALUE"""),42858.8187622222)</f>
        <v>42858.81876</v>
      </c>
      <c r="C7" s="0" t="str">
        <f aca="false">IFERROR(__xludf.dummyfunction("""COMPUTED_VALUE"""),"Верзун")</f>
        <v>Верзун</v>
      </c>
      <c r="D7" s="0" t="str">
        <f aca="false">IFERROR(__xludf.dummyfunction("""COMPUTED_VALUE"""),"Юрий")</f>
        <v>Юрий</v>
      </c>
      <c r="E7" s="0" t="n">
        <f aca="false">IFERROR(__xludf.dummyfunction("""COMPUTED_VALUE"""),8)</f>
        <v>8</v>
      </c>
      <c r="F7" s="7" t="str">
        <f aca="false">IFERROR(__xludf.dummyfunction("""COMPUTED_VALUE"""),"117")</f>
        <v>117</v>
      </c>
      <c r="H7" s="8" t="str">
        <f aca="false">IFERROR(__xludf.dummyfunction("""COMPUTED_VALUE"""),"vk.com/id400485657")</f>
        <v>vk.com/id400485657</v>
      </c>
      <c r="I7" s="0" t="str">
        <f aca="false">IFERROR(__xludf.dummyfunction("""COMPUTED_VALUE"""),"yurver@inbox.ru")</f>
        <v>yurver@inbox.ru</v>
      </c>
      <c r="J7" s="0" t="str">
        <f aca="false">IFERROR(__xludf.dummyfunction("""COMPUTED_VALUE"""),"Программирование(Свет)")</f>
        <v>Программирование(Свет)</v>
      </c>
      <c r="K7" s="0" t="str">
        <f aca="false">IFERROR(__xludf.dummyfunction("""COMPUTED_VALUE"""),"Биоинформатика")</f>
        <v>Биоинформатика</v>
      </c>
      <c r="L7" s="0" t="n">
        <f aca="false">IFERROR(__xludf.dummyfunction("""COMPUTED_VALUE"""),2)</f>
        <v>2</v>
      </c>
    </row>
    <row r="8" customFormat="false" ht="15.75" hidden="false" customHeight="false" outlineLevel="0" collapsed="false">
      <c r="A8" s="5" t="n">
        <v>5</v>
      </c>
      <c r="B8" s="6" t="n">
        <f aca="false">IFERROR(__xludf.dummyfunction("""COMPUTED_VALUE"""),42860.1956597569)</f>
        <v>42860.19566</v>
      </c>
      <c r="C8" s="0" t="str">
        <f aca="false">IFERROR(__xludf.dummyfunction("""COMPUTED_VALUE"""),"Киреев")</f>
        <v>Киреев</v>
      </c>
      <c r="D8" s="0" t="str">
        <f aca="false">IFERROR(__xludf.dummyfunction("""COMPUTED_VALUE"""),"Владимир")</f>
        <v>Владимир</v>
      </c>
      <c r="E8" s="0" t="n">
        <f aca="false">IFERROR(__xludf.dummyfunction("""COMPUTED_VALUE"""),9)</f>
        <v>9</v>
      </c>
      <c r="F8" s="7" t="str">
        <f aca="false">IFERROR(__xludf.dummyfunction("""COMPUTED_VALUE"""),"Лицей 25")</f>
        <v>Лицей 25</v>
      </c>
      <c r="H8" s="0" t="str">
        <f aca="false">IFERROR(__xludf.dummyfunction("""COMPUTED_VALUE""")," нет")</f>
        <v>нет</v>
      </c>
      <c r="I8" s="0" t="str">
        <f aca="false">IFERROR(__xludf.dummyfunction("""COMPUTED_VALUE"""),"vova.kireev.2001@gmail.com")</f>
        <v>vova.kireev.2001@gmail.com</v>
      </c>
      <c r="J8" s="0" t="str">
        <f aca="false">IFERROR(__xludf.dummyfunction("""COMPUTED_VALUE"""),"Программирование(Свет)")</f>
        <v>Программирование(Свет)</v>
      </c>
      <c r="K8" s="0" t="str">
        <f aca="false">IFERROR(__xludf.dummyfunction("""COMPUTED_VALUE"""),"Математика(Кудык)")</f>
        <v>Математика(Кудык)</v>
      </c>
      <c r="L8" s="0" t="n">
        <f aca="false">IFERROR(__xludf.dummyfunction("""COMPUTED_VALUE"""),2)</f>
        <v>2</v>
      </c>
    </row>
    <row r="9" customFormat="false" ht="15.75" hidden="false" customHeight="false" outlineLevel="0" collapsed="false">
      <c r="A9" s="4" t="n">
        <v>6</v>
      </c>
      <c r="B9" s="6" t="n">
        <f aca="false">IFERROR(__xludf.dummyfunction("""COMPUTED_VALUE"""),42864.5530093403)</f>
        <v>42864.55301</v>
      </c>
      <c r="C9" s="0" t="str">
        <f aca="false">IFERROR(__xludf.dummyfunction("""COMPUTED_VALUE"""),"Захаров")</f>
        <v>Захаров</v>
      </c>
      <c r="D9" s="0" t="str">
        <f aca="false">IFERROR(__xludf.dummyfunction("""COMPUTED_VALUE"""),"Всеволод")</f>
        <v>Всеволод</v>
      </c>
      <c r="E9" s="0" t="n">
        <f aca="false">IFERROR(__xludf.dummyfunction("""COMPUTED_VALUE"""),9)</f>
        <v>9</v>
      </c>
      <c r="F9" s="7" t="str">
        <f aca="false">IFERROR(__xludf.dummyfunction("""COMPUTED_VALUE"""),"Лицей №92")</f>
        <v>Лицей №92</v>
      </c>
      <c r="H9" s="8" t="str">
        <f aca="false">IFERROR(__xludf.dummyfunction("""COMPUTED_VALUE"""),"vk.com/id288643683")</f>
        <v>vk.com/id288643683</v>
      </c>
      <c r="I9" s="0" t="str">
        <f aca="false">IFERROR(__xludf.dummyfunction("""COMPUTED_VALUE"""),"seva_zakharov@mail.ru")</f>
        <v>seva_zakharov@mail.ru</v>
      </c>
      <c r="J9" s="0" t="str">
        <f aca="false">IFERROR(__xludf.dummyfunction("""COMPUTED_VALUE"""),"Программирование(Свет)")</f>
        <v>Программирование(Свет)</v>
      </c>
      <c r="K9" s="0" t="str">
        <f aca="false">IFERROR(__xludf.dummyfunction("""COMPUTED_VALUE"""),"Математика(Кудык)")</f>
        <v>Математика(Кудык)</v>
      </c>
      <c r="L9" s="0" t="n">
        <f aca="false">IFERROR(__xludf.dummyfunction("""COMPUTED_VALUE"""),2)</f>
        <v>2</v>
      </c>
    </row>
    <row r="10" customFormat="false" ht="15.75" hidden="false" customHeight="false" outlineLevel="0" collapsed="false">
      <c r="A10" s="5" t="n">
        <v>7</v>
      </c>
      <c r="B10" s="6" t="n">
        <f aca="false">IFERROR(__xludf.dummyfunction("""COMPUTED_VALUE"""),42864.5838590625)</f>
        <v>42864.58386</v>
      </c>
      <c r="C10" s="0" t="str">
        <f aca="false">IFERROR(__xludf.dummyfunction("""COMPUTED_VALUE"""),"Уманский")</f>
        <v>Уманский</v>
      </c>
      <c r="D10" s="0" t="str">
        <f aca="false">IFERROR(__xludf.dummyfunction("""COMPUTED_VALUE"""),"Роман")</f>
        <v>Роман</v>
      </c>
      <c r="E10" s="0" t="n">
        <f aca="false">IFERROR(__xludf.dummyfunction("""COMPUTED_VALUE"""),9)</f>
        <v>9</v>
      </c>
      <c r="F10" s="7" t="str">
        <f aca="false">IFERROR(__xludf.dummyfunction("""COMPUTED_VALUE"""),"БОУ ""лицей № 64""")</f>
        <v>БОУ "лицей № 64"</v>
      </c>
      <c r="G10" s="0" t="str">
        <f aca="false">IFERROR(__xludf.dummyfunction("""COMPUTED_VALUE"""),"по возможности записать в группу с Киямовой Наилей")</f>
        <v>по возможности записать в группу с Киямовой Наилей</v>
      </c>
      <c r="H10" s="8" t="str">
        <f aca="false">IFERROR(__xludf.dummyfunction("""COMPUTED_VALUE"""),"vk.com/umnayshe4ka")</f>
        <v>vk.com/umnayshe4ka</v>
      </c>
      <c r="I10" s="0" t="str">
        <f aca="false">IFERROR(__xludf.dummyfunction("""COMPUTED_VALUE"""),"superpo4ta.rom@gmail.com")</f>
        <v>superpo4ta.rom@gmail.com</v>
      </c>
      <c r="J10" s="0" t="str">
        <f aca="false">IFERROR(__xludf.dummyfunction("""COMPUTED_VALUE"""),"Программирование(Свет)")</f>
        <v>Программирование(Свет)</v>
      </c>
      <c r="K10" s="0" t="str">
        <f aca="false">IFERROR(__xludf.dummyfunction("""COMPUTED_VALUE"""),"Испанский")</f>
        <v>Испанский</v>
      </c>
      <c r="L10" s="0" t="n">
        <f aca="false">IFERROR(__xludf.dummyfunction("""COMPUTED_VALUE"""),2)</f>
        <v>2</v>
      </c>
    </row>
    <row r="11" customFormat="false" ht="15.75" hidden="false" customHeight="false" outlineLevel="0" collapsed="false">
      <c r="A11" s="4" t="n">
        <v>8</v>
      </c>
      <c r="B11" s="6" t="n">
        <f aca="false">IFERROR(__xludf.dummyfunction("""COMPUTED_VALUE"""),42864.6145067014)</f>
        <v>42864.61451</v>
      </c>
      <c r="C11" s="0" t="str">
        <f aca="false">IFERROR(__xludf.dummyfunction("""COMPUTED_VALUE"""),"Вачев")</f>
        <v>Вачев</v>
      </c>
      <c r="D11" s="0" t="str">
        <f aca="false">IFERROR(__xludf.dummyfunction("""COMPUTED_VALUE"""),"Иван")</f>
        <v>Иван</v>
      </c>
      <c r="E11" s="0" t="n">
        <f aca="false">IFERROR(__xludf.dummyfunction("""COMPUTED_VALUE"""),10)</f>
        <v>10</v>
      </c>
      <c r="F11" s="7" t="str">
        <f aca="false">IFERROR(__xludf.dummyfunction("""COMPUTED_VALUE"""),"19")</f>
        <v>19</v>
      </c>
      <c r="H11" s="8" t="str">
        <f aca="false">IFERROR(__xludf.dummyfunction("""COMPUTED_VALUE"""),"vk.com/ivan_vachev")</f>
        <v>vk.com/ivan_vachev</v>
      </c>
      <c r="I11" s="0" t="str">
        <f aca="false">IFERROR(__xludf.dummyfunction("""COMPUTED_VALUE"""),"t.vacheva@mail.ru")</f>
        <v>t.vacheva@mail.ru</v>
      </c>
      <c r="J11" s="0" t="str">
        <f aca="false">IFERROR(__xludf.dummyfunction("""COMPUTED_VALUE"""),"Программирование(Свет)")</f>
        <v>Программирование(Свет)</v>
      </c>
      <c r="K11" s="0" t="str">
        <f aca="false">IFERROR(__xludf.dummyfunction("""COMPUTED_VALUE"""),"Математика(Строженко)")</f>
        <v>Математика(Строженко)</v>
      </c>
      <c r="L11" s="0" t="n">
        <f aca="false">IFERROR(__xludf.dummyfunction("""COMPUTED_VALUE"""),2)</f>
        <v>2</v>
      </c>
    </row>
    <row r="12" customFormat="false" ht="15.75" hidden="false" customHeight="false" outlineLevel="0" collapsed="false">
      <c r="A12" s="5" t="n">
        <v>9</v>
      </c>
      <c r="B12" s="6" t="n">
        <f aca="false">IFERROR(__xludf.dummyfunction("""COMPUTED_VALUE"""),42864.7758284144)</f>
        <v>42864.77583</v>
      </c>
      <c r="C12" s="0" t="str">
        <f aca="false">IFERROR(__xludf.dummyfunction("""COMPUTED_VALUE"""),"Панов ")</f>
        <v>Панов</v>
      </c>
      <c r="D12" s="0" t="str">
        <f aca="false">IFERROR(__xludf.dummyfunction("""COMPUTED_VALUE"""),"Севастьян")</f>
        <v>Севастьян</v>
      </c>
      <c r="E12" s="0" t="n">
        <f aca="false">IFERROR(__xludf.dummyfunction("""COMPUTED_VALUE"""),8)</f>
        <v>8</v>
      </c>
      <c r="F12" s="7" t="str">
        <f aca="false">IFERROR(__xludf.dummyfunction("""COMPUTED_VALUE"""),"БОУОО""МОЦРО№117""")</f>
        <v>БОУОО"МОЦРО№117"</v>
      </c>
      <c r="H12" s="8" t="str">
        <f aca="false">IFERROR(__xludf.dummyfunction("""COMPUTED_VALUE"""),"vk.com/sevastyanp")</f>
        <v>vk.com/sevastyanp</v>
      </c>
      <c r="I12" s="0" t="str">
        <f aca="false">IFERROR(__xludf.dummyfunction("""COMPUTED_VALUE"""),"sevapanov@yandex.ru")</f>
        <v>sevapanov@yandex.ru</v>
      </c>
      <c r="J12" s="0" t="str">
        <f aca="false">IFERROR(__xludf.dummyfunction("""COMPUTED_VALUE"""),"Программирование(Свет)")</f>
        <v>Программирование(Свет)</v>
      </c>
      <c r="K12" s="0" t="str">
        <f aca="false">IFERROR(__xludf.dummyfunction("""COMPUTED_VALUE"""),"Биоинформатика")</f>
        <v>Биоинформатика</v>
      </c>
      <c r="L12" s="0" t="n">
        <f aca="false">IFERROR(__xludf.dummyfunction("""COMPUTED_VALUE"""),2)</f>
        <v>2</v>
      </c>
    </row>
    <row r="13" customFormat="false" ht="15.75" hidden="false" customHeight="false" outlineLevel="0" collapsed="false">
      <c r="A13" s="4" t="n">
        <v>10</v>
      </c>
      <c r="B13" s="6" t="n">
        <f aca="false">IFERROR(__xludf.dummyfunction("""COMPUTED_VALUE"""),42864.8525575)</f>
        <v>42864.85256</v>
      </c>
      <c r="C13" s="0" t="str">
        <f aca="false">IFERROR(__xludf.dummyfunction("""COMPUTED_VALUE"""),"Никифоров")</f>
        <v>Никифоров</v>
      </c>
      <c r="D13" s="0" t="str">
        <f aca="false">IFERROR(__xludf.dummyfunction("""COMPUTED_VALUE"""),"Лука")</f>
        <v>Лука</v>
      </c>
      <c r="E13" s="0" t="n">
        <f aca="false">IFERROR(__xludf.dummyfunction("""COMPUTED_VALUE"""),8)</f>
        <v>8</v>
      </c>
      <c r="F13" s="7" t="str">
        <f aca="false">IFERROR(__xludf.dummyfunction("""COMPUTED_VALUE"""),"115")</f>
        <v>115</v>
      </c>
      <c r="H13" s="8" t="str">
        <f aca="false">IFERROR(__xludf.dummyfunction("""COMPUTED_VALUE"""),"vk.com/luckea")</f>
        <v>vk.com/luckea</v>
      </c>
      <c r="I13" s="0" t="str">
        <f aca="false">IFERROR(__xludf.dummyfunction("""COMPUTED_VALUE"""),"lukanik29@gmail.com")</f>
        <v>lukanik29@gmail.com</v>
      </c>
      <c r="J13" s="0" t="str">
        <f aca="false">IFERROR(__xludf.dummyfunction("""COMPUTED_VALUE"""),"Программирование(Свет)")</f>
        <v>Программирование(Свет)</v>
      </c>
      <c r="K13" s="0" t="str">
        <f aca="false">IFERROR(__xludf.dummyfunction("""COMPUTED_VALUE"""),"Математика(Строженко)")</f>
        <v>Математика(Строженко)</v>
      </c>
      <c r="L13" s="0" t="n">
        <f aca="false">IFERROR(__xludf.dummyfunction("""COMPUTED_VALUE"""),2)</f>
        <v>2</v>
      </c>
    </row>
    <row r="14" customFormat="false" ht="15.75" hidden="false" customHeight="false" outlineLevel="0" collapsed="false">
      <c r="A14" s="5" t="n">
        <v>11</v>
      </c>
      <c r="B14" s="6" t="n">
        <f aca="false">IFERROR(__xludf.dummyfunction("""COMPUTED_VALUE"""),42871.2149998495)</f>
        <v>42871.215</v>
      </c>
      <c r="C14" s="0" t="str">
        <f aca="false">IFERROR(__xludf.dummyfunction("""COMPUTED_VALUE"""),"Белозерова")</f>
        <v>Белозерова</v>
      </c>
      <c r="D14" s="0" t="str">
        <f aca="false">IFERROR(__xludf.dummyfunction("""COMPUTED_VALUE"""),"Ольга")</f>
        <v>Ольга</v>
      </c>
      <c r="E14" s="0" t="n">
        <f aca="false">IFERROR(__xludf.dummyfunction("""COMPUTED_VALUE"""),9)</f>
        <v>9</v>
      </c>
      <c r="F14" s="7" t="str">
        <f aca="false">IFERROR(__xludf.dummyfunction("""COMPUTED_VALUE"""),"117")</f>
        <v>117</v>
      </c>
      <c r="H14" s="8" t="str">
        <f aca="false">IFERROR(__xludf.dummyfunction("""COMPUTED_VALUE"""),"vk.com/obeloz")</f>
        <v>vk.com/obeloz</v>
      </c>
      <c r="I14" s="0" t="str">
        <f aca="false">IFERROR(__xludf.dummyfunction("""COMPUTED_VALUE"""),"Basyanet@gmail.com")</f>
        <v>Basyanet@gmail.com</v>
      </c>
      <c r="J14" s="0" t="str">
        <f aca="false">IFERROR(__xludf.dummyfunction("""COMPUTED_VALUE"""),"Программирование(Свет)")</f>
        <v>Программирование(Свет)</v>
      </c>
      <c r="K14" s="0" t="str">
        <f aca="false">IFERROR(__xludf.dummyfunction("""COMPUTED_VALUE"""),"Физика(Шумаков)")</f>
        <v>Физика(Шумаков)</v>
      </c>
      <c r="L14" s="0" t="n">
        <f aca="false">IFERROR(__xludf.dummyfunction("""COMPUTED_VALUE"""),2)</f>
        <v>2</v>
      </c>
    </row>
    <row r="15" customFormat="false" ht="15.75" hidden="false" customHeight="false" outlineLevel="0" collapsed="false">
      <c r="A15" s="4" t="n">
        <v>12</v>
      </c>
      <c r="B15" s="6" t="n">
        <f aca="false">IFERROR(__xludf.dummyfunction("""COMPUTED_VALUE"""),42871.7113207639)</f>
        <v>42871.71132</v>
      </c>
      <c r="C15" s="0" t="str">
        <f aca="false">IFERROR(__xludf.dummyfunction("""COMPUTED_VALUE"""),"Красных")</f>
        <v>Красных</v>
      </c>
      <c r="D15" s="0" t="str">
        <f aca="false">IFERROR(__xludf.dummyfunction("""COMPUTED_VALUE"""),"Вадим")</f>
        <v>Вадим</v>
      </c>
      <c r="E15" s="0" t="n">
        <f aca="false">IFERROR(__xludf.dummyfunction("""COMPUTED_VALUE"""),8)</f>
        <v>8</v>
      </c>
      <c r="F15" s="7" t="str">
        <f aca="false">IFERROR(__xludf.dummyfunction("""COMPUTED_VALUE"""),"МОЦРО 117")</f>
        <v>МОЦРО 117</v>
      </c>
      <c r="H15" s="8" t="str">
        <f aca="false">IFERROR(__xludf.dummyfunction("""COMPUTED_VALUE"""),"vk.com/evverything_is_allowed")</f>
        <v>vk.com/evverything_is_allowed</v>
      </c>
      <c r="I15" s="0" t="str">
        <f aca="false">IFERROR(__xludf.dummyfunction("""COMPUTED_VALUE"""),"vadikras@list.ru")</f>
        <v>vadikras@list.ru</v>
      </c>
      <c r="J15" s="0" t="str">
        <f aca="false">IFERROR(__xludf.dummyfunction("""COMPUTED_VALUE"""),"Программирование(Свет)")</f>
        <v>Программирование(Свет)</v>
      </c>
      <c r="K15" s="0" t="str">
        <f aca="false">IFERROR(__xludf.dummyfunction("""COMPUTED_VALUE"""),"Биоинформатика")</f>
        <v>Биоинформатика</v>
      </c>
      <c r="L15" s="0" t="n">
        <f aca="false">IFERROR(__xludf.dummyfunction("""COMPUTED_VALUE"""),2)</f>
        <v>2</v>
      </c>
    </row>
    <row r="16" customFormat="false" ht="15.75" hidden="false" customHeight="false" outlineLevel="0" collapsed="false">
      <c r="A16" s="5" t="n">
        <v>13</v>
      </c>
      <c r="B16" s="6" t="n">
        <f aca="false">IFERROR(__xludf.dummyfunction("""COMPUTED_VALUE"""),42873.809597662)</f>
        <v>42873.8096</v>
      </c>
      <c r="C16" s="0" t="str">
        <f aca="false">IFERROR(__xludf.dummyfunction("""COMPUTED_VALUE"""),"Олейник")</f>
        <v>Олейник</v>
      </c>
      <c r="D16" s="0" t="str">
        <f aca="false">IFERROR(__xludf.dummyfunction("""COMPUTED_VALUE"""),"Анастасия")</f>
        <v>Анастасия</v>
      </c>
      <c r="E16" s="0" t="n">
        <f aca="false">IFERROR(__xludf.dummyfunction("""COMPUTED_VALUE"""),10)</f>
        <v>10</v>
      </c>
      <c r="F16" s="0" t="n">
        <f aca="false">IFERROR(__xludf.dummyfunction("""COMPUTED_VALUE"""),117)</f>
        <v>117</v>
      </c>
      <c r="H16" s="8" t="str">
        <f aca="false">IFERROR(__xludf.dummyfunction("""COMPUTED_VALUE"""),"vk.com/lololen.gobz")</f>
        <v>vk.com/lololen.gobz</v>
      </c>
      <c r="I16" s="0" t="str">
        <f aca="false">IFERROR(__xludf.dummyfunction("""COMPUTED_VALUE"""),"Лень")</f>
        <v>Лень</v>
      </c>
      <c r="J16" s="0" t="str">
        <f aca="false">IFERROR(__xludf.dummyfunction("""COMPUTED_VALUE"""),"Программирование(Свет)")</f>
        <v>Программирование(Свет)</v>
      </c>
      <c r="K16" s="0" t="str">
        <f aca="false">IFERROR(__xludf.dummyfunction("""COMPUTED_VALUE"""),"Физика(Шумаков)")</f>
        <v>Физика(Шумаков)</v>
      </c>
      <c r="L16" s="0" t="n">
        <f aca="false">IFERROR(__xludf.dummyfunction("""COMPUTED_VALUE"""),2)</f>
        <v>2</v>
      </c>
    </row>
    <row r="17" customFormat="false" ht="15.75" hidden="false" customHeight="false" outlineLevel="0" collapsed="false">
      <c r="A17" s="4" t="n">
        <v>14</v>
      </c>
      <c r="B17" s="6" t="n">
        <f aca="false">IFERROR(__xludf.dummyfunction("""COMPUTED_VALUE"""),42882.369833206)</f>
        <v>42882.36983</v>
      </c>
      <c r="C17" s="0" t="str">
        <f aca="false">IFERROR(__xludf.dummyfunction("""COMPUTED_VALUE"""),"Бабенко")</f>
        <v>Бабенко</v>
      </c>
      <c r="D17" s="0" t="str">
        <f aca="false">IFERROR(__xludf.dummyfunction("""COMPUTED_VALUE"""),"Александр")</f>
        <v>Александр</v>
      </c>
      <c r="E17" s="0" t="n">
        <f aca="false">IFERROR(__xludf.dummyfunction("""COMPUTED_VALUE"""),8)</f>
        <v>8</v>
      </c>
      <c r="F17" s="0" t="str">
        <f aca="false">IFERROR(__xludf.dummyfunction("""COMPUTED_VALUE"""),"МОЦРО 117")</f>
        <v>МОЦРО 117</v>
      </c>
      <c r="H17" s="8" t="str">
        <f aca="false">IFERROR(__xludf.dummyfunction("""COMPUTED_VALUE"""),"vk.com/id248288690")</f>
        <v>vk.com/id248288690</v>
      </c>
      <c r="I17" s="0" t="str">
        <f aca="false">IFERROR(__xludf.dummyfunction("""COMPUTED_VALUE"""),"babenko254@gmail.com")</f>
        <v>babenko254@gmail.com</v>
      </c>
      <c r="J17" s="0" t="str">
        <f aca="false">IFERROR(__xludf.dummyfunction("""COMPUTED_VALUE"""),"Программирование(Свет)")</f>
        <v>Программирование(Свет)</v>
      </c>
      <c r="K17" s="0" t="str">
        <f aca="false">IFERROR(__xludf.dummyfunction("""COMPUTED_VALUE"""),"Математика(Кудык)")</f>
        <v>Математика(Кудык)</v>
      </c>
      <c r="L17" s="0" t="n">
        <f aca="false">IFERROR(__xludf.dummyfunction("""COMPUTED_VALUE"""),2)</f>
        <v>2</v>
      </c>
    </row>
    <row r="18" customFormat="false" ht="15.75" hidden="false" customHeight="false" outlineLevel="0" collapsed="false">
      <c r="A18" s="5" t="n">
        <v>15</v>
      </c>
      <c r="B18" s="6" t="n">
        <f aca="false">IFERROR(__xludf.dummyfunction("""COMPUTED_VALUE"""),42885.2685068866)</f>
        <v>42885.26851</v>
      </c>
      <c r="C18" s="0" t="str">
        <f aca="false">IFERROR(__xludf.dummyfunction("""COMPUTED_VALUE"""),"Ткач")</f>
        <v>Ткач</v>
      </c>
      <c r="D18" s="0" t="str">
        <f aca="false">IFERROR(__xludf.dummyfunction("""COMPUTED_VALUE"""),"Софья")</f>
        <v>Софья</v>
      </c>
      <c r="E18" s="0" t="n">
        <f aca="false">IFERROR(__xludf.dummyfunction("""COMPUTED_VALUE"""),8)</f>
        <v>8</v>
      </c>
      <c r="F18" s="0" t="str">
        <f aca="false">IFERROR(__xludf.dummyfunction("""COMPUTED_VALUE"""),"Гимназия 43")</f>
        <v>Гимназия 43</v>
      </c>
      <c r="H18" s="8" t="str">
        <f aca="false">IFERROR(__xludf.dummyfunction("""COMPUTED_VALUE"""),"vk.com/id186803102")</f>
        <v>vk.com/id186803102</v>
      </c>
      <c r="I18" s="0" t="str">
        <f aca="false">IFERROR(__xludf.dummyfunction("""COMPUTED_VALUE"""),"sonytkach@mail.ru")</f>
        <v>sonytkach@mail.ru</v>
      </c>
      <c r="J18" s="0" t="str">
        <f aca="false">IFERROR(__xludf.dummyfunction("""COMPUTED_VALUE"""),"Программирование(Свет)")</f>
        <v>Программирование(Свет)</v>
      </c>
      <c r="K18" s="0" t="str">
        <f aca="false">IFERROR(__xludf.dummyfunction("""COMPUTED_VALUE"""),"Математика(Строженко)")</f>
        <v>Математика(Строженко)</v>
      </c>
      <c r="L18" s="0" t="n">
        <f aca="false">IFERROR(__xludf.dummyfunction("""COMPUTED_VALUE"""),2)</f>
        <v>2</v>
      </c>
    </row>
    <row r="19" customFormat="false" ht="15.75" hidden="false" customHeight="false" outlineLevel="0" collapsed="false">
      <c r="A19" s="4" t="n">
        <v>16</v>
      </c>
      <c r="B19" s="6" t="n">
        <f aca="false">IFERROR(__xludf.dummyfunction("""COMPUTED_VALUE"""),42905.0194444444)</f>
        <v>42905.01944</v>
      </c>
      <c r="C19" s="0" t="str">
        <f aca="false">IFERROR(__xludf.dummyfunction("""COMPUTED_VALUE"""),"Кузьмин")</f>
        <v>Кузьмин</v>
      </c>
      <c r="D19" s="0" t="str">
        <f aca="false">IFERROR(__xludf.dummyfunction("""COMPUTED_VALUE"""),"Василий")</f>
        <v>Василий</v>
      </c>
      <c r="E19" s="0" t="n">
        <f aca="false">IFERROR(__xludf.dummyfunction("""COMPUTED_VALUE"""),8)</f>
        <v>8</v>
      </c>
      <c r="F19" s="0" t="n">
        <f aca="false">IFERROR(__xludf.dummyfunction("""COMPUTED_VALUE"""),117)</f>
        <v>117</v>
      </c>
      <c r="H19" s="8" t="str">
        <f aca="false">IFERROR(__xludf.dummyfunction("""COMPUTED_VALUE"""),"vk.com/username1908")</f>
        <v>vk.com/username1908</v>
      </c>
      <c r="I19" s="0" t="str">
        <f aca="false">IFERROR(__xludf.dummyfunction("""COMPUTED_VALUE"""),"re_1919@mail.ru")</f>
        <v>re_1919@mail.ru</v>
      </c>
      <c r="J19" s="0" t="str">
        <f aca="false">IFERROR(__xludf.dummyfunction("""COMPUTED_VALUE"""),"Программирование(Свет)")</f>
        <v>Программирование(Свет)</v>
      </c>
      <c r="K19" s="0" t="str">
        <f aca="false">IFERROR(__xludf.dummyfunction("""COMPUTED_VALUE"""),"Биоинформатика")</f>
        <v>Биоинформатика</v>
      </c>
      <c r="L19" s="0" t="n">
        <f aca="false">IFERROR(__xludf.dummyfunction("""COMPUTED_VALUE"""),2)</f>
        <v>2</v>
      </c>
    </row>
    <row r="20" customFormat="false" ht="15.75" hidden="false" customHeight="false" outlineLevel="0" collapsed="false">
      <c r="A20" s="5" t="n">
        <v>17</v>
      </c>
    </row>
    <row r="21" customFormat="false" ht="15.75" hidden="false" customHeight="false" outlineLevel="0" collapsed="false">
      <c r="A21" s="4" t="n">
        <v>18</v>
      </c>
    </row>
    <row r="22" customFormat="false" ht="15.75" hidden="false" customHeight="false" outlineLevel="0" collapsed="false">
      <c r="A22" s="5" t="n">
        <v>19</v>
      </c>
    </row>
    <row r="23" customFormat="false" ht="15.75" hidden="false" customHeight="false" outlineLevel="0" collapsed="false">
      <c r="A23" s="4" t="n">
        <v>20</v>
      </c>
    </row>
    <row r="24" customFormat="false" ht="15.75" hidden="false" customHeight="false" outlineLevel="0" collapsed="false">
      <c r="A24" s="5" t="n">
        <v>21</v>
      </c>
    </row>
    <row r="25" customFormat="false" ht="15.75" hidden="false" customHeight="false" outlineLevel="0" collapsed="false">
      <c r="A25" s="4" t="n">
        <v>22</v>
      </c>
    </row>
    <row r="26" customFormat="false" ht="15.75" hidden="false" customHeight="false" outlineLevel="0" collapsed="false">
      <c r="A26" s="5" t="n">
        <v>23</v>
      </c>
    </row>
    <row r="27" customFormat="false" ht="15.75" hidden="false" customHeight="false" outlineLevel="0" collapsed="false">
      <c r="A27" s="4" t="n">
        <v>24</v>
      </c>
    </row>
    <row r="28" customFormat="false" ht="15.75" hidden="false" customHeight="false" outlineLevel="0" collapsed="false">
      <c r="A28" s="5" t="n">
        <v>25</v>
      </c>
    </row>
    <row r="29" customFormat="false" ht="15.75" hidden="false" customHeight="false" outlineLevel="0" collapsed="false">
      <c r="A29" s="4" t="n">
        <v>26</v>
      </c>
    </row>
    <row r="30" customFormat="false" ht="15.75" hidden="false" customHeight="false" outlineLevel="0" collapsed="false">
      <c r="A30" s="5" t="n">
        <v>27</v>
      </c>
    </row>
    <row r="31" customFormat="false" ht="15.75" hidden="false" customHeight="false" outlineLevel="0" collapsed="false">
      <c r="A31" s="4" t="n">
        <v>28</v>
      </c>
    </row>
    <row r="32" customFormat="false" ht="15.75" hidden="false" customHeight="false" outlineLevel="0" collapsed="false">
      <c r="A32" s="5" t="n">
        <v>29</v>
      </c>
    </row>
    <row r="33" customFormat="false" ht="15.75" hidden="false" customHeight="false" outlineLevel="0" collapsed="false">
      <c r="A33" s="4" t="n">
        <v>30</v>
      </c>
    </row>
    <row r="35" customFormat="false" ht="15.75" hidden="false" customHeight="false" outlineLevel="0" collapsed="false">
      <c r="E35" s="2" t="s">
        <v>14</v>
      </c>
    </row>
    <row r="37" customFormat="false" ht="15.75" hidden="false" customHeight="false" outlineLevel="0" collapsed="false">
      <c r="B37" s="0" t="s">
        <v>3</v>
      </c>
      <c r="C37" s="0" t="s">
        <v>4</v>
      </c>
      <c r="D37" s="0" t="s">
        <v>5</v>
      </c>
      <c r="E37" s="0" t="s">
        <v>6</v>
      </c>
      <c r="F37" s="0" t="s">
        <v>7</v>
      </c>
      <c r="G37" s="0" t="s">
        <v>8</v>
      </c>
      <c r="H37" s="0" t="s">
        <v>15</v>
      </c>
      <c r="I37" s="0" t="s">
        <v>10</v>
      </c>
      <c r="J37" s="4" t="s">
        <v>11</v>
      </c>
      <c r="K37" s="4" t="s">
        <v>12</v>
      </c>
      <c r="L37" s="4" t="s">
        <v>13</v>
      </c>
    </row>
    <row r="38" customFormat="false" ht="15.75" hidden="false" customHeight="false" outlineLevel="0" collapsed="false">
      <c r="A38" s="5" t="n">
        <v>1</v>
      </c>
      <c r="B38" s="0" t="str">
        <f aca="false">IFERROR(__xludf.dummyfunction("FILTER('Переформатированный ответ'!$A$2:$K$184,ARRAYFORMULA((('Переформатированный ответ'!$J$2:$J$184 = A2)+('Переформатированный ответ'!$K$2:$K$184 &gt;-1)) = 2))"),"#N/A")</f>
        <v>#N/A</v>
      </c>
    </row>
    <row r="39" customFormat="false" ht="15.75" hidden="false" customHeight="false" outlineLevel="0" collapsed="false">
      <c r="A39" s="4" t="n">
        <v>2</v>
      </c>
    </row>
    <row r="40" customFormat="false" ht="15.75" hidden="false" customHeight="false" outlineLevel="0" collapsed="false">
      <c r="A40" s="5" t="n">
        <v>3</v>
      </c>
    </row>
    <row r="41" customFormat="false" ht="15.75" hidden="false" customHeight="false" outlineLevel="0" collapsed="false">
      <c r="A41" s="4" t="n">
        <v>4</v>
      </c>
    </row>
    <row r="42" customFormat="false" ht="15.75" hidden="false" customHeight="false" outlineLevel="0" collapsed="false">
      <c r="A42" s="5" t="n">
        <v>5</v>
      </c>
    </row>
    <row r="43" customFormat="false" ht="15.75" hidden="false" customHeight="false" outlineLevel="0" collapsed="false">
      <c r="A43" s="4" t="n">
        <v>6</v>
      </c>
    </row>
    <row r="44" customFormat="false" ht="15.75" hidden="false" customHeight="false" outlineLevel="0" collapsed="false">
      <c r="A44" s="5" t="n">
        <v>7</v>
      </c>
    </row>
    <row r="45" customFormat="false" ht="15.75" hidden="false" customHeight="false" outlineLevel="0" collapsed="false">
      <c r="A45" s="4" t="n">
        <v>8</v>
      </c>
    </row>
    <row r="46" customFormat="false" ht="15.75" hidden="false" customHeight="false" outlineLevel="0" collapsed="false">
      <c r="A46" s="5" t="n">
        <v>9</v>
      </c>
    </row>
    <row r="47" customFormat="false" ht="15.75" hidden="false" customHeight="false" outlineLevel="0" collapsed="false">
      <c r="A47" s="4" t="n">
        <v>10</v>
      </c>
    </row>
    <row r="48" customFormat="false" ht="15.75" hidden="false" customHeight="false" outlineLevel="0" collapsed="false">
      <c r="A48" s="5" t="n">
        <v>11</v>
      </c>
    </row>
    <row r="49" customFormat="false" ht="15.75" hidden="false" customHeight="false" outlineLevel="0" collapsed="false">
      <c r="A49" s="4" t="n">
        <v>12</v>
      </c>
    </row>
    <row r="50" customFormat="false" ht="15.75" hidden="false" customHeight="false" outlineLevel="0" collapsed="false">
      <c r="A50" s="5" t="n">
        <v>13</v>
      </c>
    </row>
    <row r="51" customFormat="false" ht="15.75" hidden="false" customHeight="false" outlineLevel="0" collapsed="false">
      <c r="A51" s="4" t="n">
        <v>14</v>
      </c>
    </row>
    <row r="52" customFormat="false" ht="15.75" hidden="false" customHeight="false" outlineLevel="0" collapsed="false">
      <c r="A52" s="5" t="n">
        <v>15</v>
      </c>
    </row>
    <row r="53" customFormat="false" ht="15.75" hidden="false" customHeight="false" outlineLevel="0" collapsed="false">
      <c r="A53" s="4" t="n">
        <v>16</v>
      </c>
    </row>
    <row r="54" customFormat="false" ht="15.75" hidden="false" customHeight="false" outlineLevel="0" collapsed="false">
      <c r="A54" s="5" t="n">
        <v>17</v>
      </c>
    </row>
    <row r="55" customFormat="false" ht="15.75" hidden="false" customHeight="false" outlineLevel="0" collapsed="false">
      <c r="A55" s="4" t="n">
        <v>18</v>
      </c>
    </row>
    <row r="56" customFormat="false" ht="15.75" hidden="false" customHeight="false" outlineLevel="0" collapsed="false">
      <c r="A56" s="5" t="n">
        <v>19</v>
      </c>
    </row>
    <row r="57" customFormat="false" ht="15.75" hidden="false" customHeight="false" outlineLevel="0" collapsed="false">
      <c r="A57" s="4" t="n">
        <v>20</v>
      </c>
    </row>
    <row r="58" customFormat="false" ht="15.75" hidden="false" customHeight="false" outlineLevel="0" collapsed="false">
      <c r="A58" s="5" t="n">
        <v>21</v>
      </c>
    </row>
    <row r="59" customFormat="false" ht="15.75" hidden="false" customHeight="false" outlineLevel="0" collapsed="false">
      <c r="A59" s="4" t="n">
        <v>22</v>
      </c>
    </row>
    <row r="60" customFormat="false" ht="15.75" hidden="false" customHeight="false" outlineLevel="0" collapsed="false">
      <c r="A60" s="5" t="n">
        <v>23</v>
      </c>
    </row>
    <row r="61" customFormat="false" ht="15.75" hidden="false" customHeight="false" outlineLevel="0" collapsed="false">
      <c r="A61" s="4" t="n">
        <v>24</v>
      </c>
    </row>
    <row r="62" customFormat="false" ht="15.75" hidden="false" customHeight="false" outlineLevel="0" collapsed="false">
      <c r="A62" s="5" t="n">
        <v>25</v>
      </c>
    </row>
    <row r="63" customFormat="false" ht="15.75" hidden="false" customHeight="false" outlineLevel="0" collapsed="false">
      <c r="A63" s="4" t="n">
        <v>26</v>
      </c>
    </row>
    <row r="64" customFormat="false" ht="15.75" hidden="false" customHeight="false" outlineLevel="0" collapsed="false">
      <c r="A64" s="5" t="n">
        <v>27</v>
      </c>
    </row>
    <row r="65" customFormat="false" ht="15.75" hidden="false" customHeight="false" outlineLevel="0" collapsed="false">
      <c r="A65" s="4" t="n">
        <v>28</v>
      </c>
    </row>
    <row r="66" customFormat="false" ht="15.75" hidden="false" customHeight="false" outlineLevel="0" collapsed="false">
      <c r="A66" s="5" t="n">
        <v>29</v>
      </c>
    </row>
    <row r="67" customFormat="false" ht="15.75" hidden="false" customHeight="false" outlineLevel="0" collapsed="false">
      <c r="A67" s="4" t="n">
        <v>30</v>
      </c>
    </row>
    <row r="68" customFormat="false" ht="15.75" hidden="false" customHeight="false" outlineLevel="0" collapsed="false">
      <c r="A68" s="5" t="n">
        <v>31</v>
      </c>
    </row>
    <row r="69" customFormat="false" ht="15.75" hidden="false" customHeight="false" outlineLevel="0" collapsed="false">
      <c r="A69" s="4" t="n">
        <v>32</v>
      </c>
    </row>
    <row r="70" customFormat="false" ht="15.75" hidden="false" customHeight="false" outlineLevel="0" collapsed="false">
      <c r="A70" s="5" t="n">
        <v>33</v>
      </c>
    </row>
    <row r="71" customFormat="false" ht="15.75" hidden="false" customHeight="false" outlineLevel="0" collapsed="false">
      <c r="A71" s="4" t="n">
        <v>34</v>
      </c>
    </row>
    <row r="72" customFormat="false" ht="15.75" hidden="false" customHeight="false" outlineLevel="0" collapsed="false">
      <c r="A72" s="5" t="n">
        <v>35</v>
      </c>
    </row>
    <row r="73" customFormat="false" ht="15.75" hidden="false" customHeight="false" outlineLevel="0" collapsed="false">
      <c r="A73" s="4" t="n">
        <v>36</v>
      </c>
    </row>
  </sheetData>
  <mergeCells count="2">
    <mergeCell ref="A1:B1"/>
    <mergeCell ref="A2:C2"/>
  </mergeCells>
  <dataValidations count="1">
    <dataValidation allowBlank="true" errorStyle="stop" operator="between" showDropDown="false" showErrorMessage="true" showInputMessage="false" sqref="A2" type="list">
      <formula1>'Переформатированный ответ'!$N$2:$N$11</formula1>
      <formula2>0</formula2>
    </dataValidation>
  </dataValidations>
  <hyperlinks>
    <hyperlink ref="H4" r:id="rId1" display="http://vk.com/agent024"/>
    <hyperlink ref="H5" r:id="rId2" display="http://vk.com/id326623716"/>
    <hyperlink ref="H6" r:id="rId3" display="http://vk.com/loiwwer"/>
    <hyperlink ref="H7" r:id="rId4" display="http://vk.com/id400485657"/>
    <hyperlink ref="H9" r:id="rId5" display="http://vk.com/id288643683"/>
    <hyperlink ref="H10" r:id="rId6" display="http://vk.com/umnayshe4ka"/>
    <hyperlink ref="H11" r:id="rId7" display="http://vk.com/ivan_vachev"/>
    <hyperlink ref="H12" r:id="rId8" display="http://vk.com/sevastyanp"/>
    <hyperlink ref="H13" r:id="rId9" display="http://vk.com/luckea"/>
    <hyperlink ref="H14" r:id="rId10" display="http://vk.com/obeloz"/>
    <hyperlink ref="H15" r:id="rId11" display="http://vk.com/evverything_is_allowed"/>
    <hyperlink ref="H16" r:id="rId12" display="http://vk.com/lololen.gobz"/>
    <hyperlink ref="H17" r:id="rId13" display="http://vk.com/id248288690"/>
    <hyperlink ref="H18" r:id="rId14" display="http://vk.com/id186803102"/>
    <hyperlink ref="H19" r:id="rId15" display="http://vk.com/username190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6" min="6" style="0" width="26.13"/>
    <col collapsed="false" customWidth="true" hidden="false" outlineLevel="0" max="7" min="7" style="0" width="25.57"/>
  </cols>
  <sheetData>
    <row r="1" customFormat="false" ht="15.75" hidden="false" customHeight="false" outlineLevel="0" collapsed="false">
      <c r="A1" s="47" t="s">
        <v>59</v>
      </c>
      <c r="B1" s="0" t="s">
        <v>60</v>
      </c>
      <c r="C1" s="0" t="n">
        <v>8</v>
      </c>
      <c r="D1" s="7" t="s">
        <v>61</v>
      </c>
      <c r="F1" s="0" t="s">
        <v>2</v>
      </c>
      <c r="G1" s="0" t="s">
        <v>24</v>
      </c>
      <c r="H1" s="18"/>
      <c r="I1" s="32" t="n">
        <v>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customFormat="false" ht="15.75" hidden="false" customHeight="false" outlineLevel="0" collapsed="false">
      <c r="A2" s="47" t="s">
        <v>74</v>
      </c>
      <c r="B2" s="0" t="s">
        <v>75</v>
      </c>
      <c r="C2" s="0" t="n">
        <v>9</v>
      </c>
      <c r="D2" s="7" t="s">
        <v>76</v>
      </c>
      <c r="F2" s="0" t="s">
        <v>20</v>
      </c>
      <c r="G2" s="0" t="s">
        <v>24</v>
      </c>
      <c r="H2" s="18"/>
      <c r="I2" s="32" t="n">
        <v>1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customFormat="false" ht="15.75" hidden="false" customHeight="false" outlineLevel="0" collapsed="false">
      <c r="A3" s="47" t="s">
        <v>79</v>
      </c>
      <c r="B3" s="0" t="s">
        <v>80</v>
      </c>
      <c r="C3" s="0" t="n">
        <v>10</v>
      </c>
      <c r="D3" s="7" t="s">
        <v>81</v>
      </c>
      <c r="F3" s="0" t="s">
        <v>27</v>
      </c>
      <c r="G3" s="0" t="s">
        <v>26</v>
      </c>
      <c r="H3" s="18"/>
      <c r="I3" s="32" t="n">
        <v>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customFormat="false" ht="15.75" hidden="false" customHeight="false" outlineLevel="0" collapsed="false">
      <c r="A4" s="47" t="s">
        <v>94</v>
      </c>
      <c r="B4" s="0" t="s">
        <v>95</v>
      </c>
      <c r="C4" s="0" t="n">
        <v>9</v>
      </c>
      <c r="D4" s="7" t="s">
        <v>96</v>
      </c>
      <c r="F4" s="0" t="s">
        <v>20</v>
      </c>
      <c r="G4" s="0" t="s">
        <v>24</v>
      </c>
      <c r="H4" s="18"/>
      <c r="I4" s="32" t="n">
        <v>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customFormat="false" ht="15.75" hidden="false" customHeight="false" outlineLevel="0" collapsed="false">
      <c r="A5" s="47" t="s">
        <v>99</v>
      </c>
      <c r="B5" s="0" t="s">
        <v>100</v>
      </c>
      <c r="C5" s="0" t="n">
        <v>9</v>
      </c>
      <c r="D5" s="7" t="s">
        <v>101</v>
      </c>
      <c r="F5" s="0" t="s">
        <v>16</v>
      </c>
      <c r="G5" s="0" t="s">
        <v>26</v>
      </c>
      <c r="H5" s="18"/>
      <c r="I5" s="32" t="n">
        <v>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customFormat="false" ht="15.75" hidden="false" customHeight="false" outlineLevel="0" collapsed="false">
      <c r="A6" s="47" t="s">
        <v>119</v>
      </c>
      <c r="B6" s="0" t="s">
        <v>120</v>
      </c>
      <c r="C6" s="0" t="n">
        <v>10</v>
      </c>
      <c r="D6" s="7" t="s">
        <v>121</v>
      </c>
      <c r="F6" s="0" t="s">
        <v>16</v>
      </c>
      <c r="G6" s="0" t="s">
        <v>24</v>
      </c>
      <c r="H6" s="18"/>
      <c r="I6" s="32" t="n">
        <v>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customFormat="false" ht="15.75" hidden="false" customHeight="false" outlineLevel="0" collapsed="false">
      <c r="A7" s="47" t="s">
        <v>124</v>
      </c>
      <c r="B7" s="0" t="s">
        <v>125</v>
      </c>
      <c r="C7" s="0" t="n">
        <v>7</v>
      </c>
      <c r="D7" s="7" t="s">
        <v>126</v>
      </c>
      <c r="F7" s="0" t="s">
        <v>24</v>
      </c>
      <c r="G7" s="0" t="s">
        <v>22</v>
      </c>
      <c r="H7" s="18"/>
      <c r="I7" s="32" t="n">
        <v>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customFormat="false" ht="15.75" hidden="false" customHeight="false" outlineLevel="0" collapsed="false">
      <c r="A8" s="47" t="s">
        <v>141</v>
      </c>
      <c r="B8" s="0" t="s">
        <v>142</v>
      </c>
      <c r="C8" s="0" t="n">
        <v>9</v>
      </c>
      <c r="D8" s="7" t="s">
        <v>40</v>
      </c>
      <c r="F8" s="0" t="s">
        <v>22</v>
      </c>
      <c r="G8" s="0" t="s">
        <v>27</v>
      </c>
      <c r="H8" s="18"/>
      <c r="I8" s="32" t="n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customFormat="false" ht="15.75" hidden="false" customHeight="false" outlineLevel="0" collapsed="false">
      <c r="A9" s="47" t="s">
        <v>175</v>
      </c>
      <c r="B9" s="0" t="s">
        <v>176</v>
      </c>
      <c r="C9" s="0" t="n">
        <v>8</v>
      </c>
      <c r="D9" s="7" t="s">
        <v>177</v>
      </c>
      <c r="F9" s="0" t="s">
        <v>20</v>
      </c>
      <c r="G9" s="0" t="s">
        <v>22</v>
      </c>
      <c r="H9" s="18"/>
      <c r="I9" s="32" t="n">
        <v>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5.75" hidden="false" customHeight="false" outlineLevel="0" collapsed="false">
      <c r="A10" s="47" t="s">
        <v>209</v>
      </c>
      <c r="B10" s="0" t="s">
        <v>210</v>
      </c>
      <c r="C10" s="0" t="n">
        <v>10</v>
      </c>
      <c r="D10" s="7" t="s">
        <v>211</v>
      </c>
      <c r="F10" s="0" t="s">
        <v>27</v>
      </c>
      <c r="G10" s="0" t="s">
        <v>27</v>
      </c>
      <c r="H10" s="18"/>
      <c r="I10" s="32" t="n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customFormat="false" ht="15.75" hidden="false" customHeight="false" outlineLevel="0" collapsed="false">
      <c r="A11" s="47" t="s">
        <v>214</v>
      </c>
      <c r="B11" s="0" t="s">
        <v>215</v>
      </c>
      <c r="C11" s="0" t="n">
        <v>11</v>
      </c>
      <c r="D11" s="7" t="s">
        <v>130</v>
      </c>
      <c r="E11" s="0" t="s">
        <v>216</v>
      </c>
      <c r="F11" s="0" t="s">
        <v>20</v>
      </c>
      <c r="G11" s="0" t="s">
        <v>27</v>
      </c>
      <c r="H11" s="18"/>
      <c r="I11" s="32" t="n">
        <v>1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customFormat="false" ht="15.75" hidden="false" customHeight="false" outlineLevel="0" collapsed="false">
      <c r="A12" s="47" t="s">
        <v>219</v>
      </c>
      <c r="B12" s="0" t="s">
        <v>105</v>
      </c>
      <c r="C12" s="0" t="n">
        <v>8</v>
      </c>
      <c r="D12" s="7" t="s">
        <v>220</v>
      </c>
      <c r="F12" s="0" t="s">
        <v>22</v>
      </c>
      <c r="G12" s="0" t="s">
        <v>24</v>
      </c>
      <c r="H12" s="18"/>
      <c r="I12" s="32" t="n">
        <v>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customFormat="false" ht="15.75" hidden="false" customHeight="false" outlineLevel="0" collapsed="false">
      <c r="A13" s="47" t="s">
        <v>223</v>
      </c>
      <c r="B13" s="0" t="s">
        <v>159</v>
      </c>
      <c r="C13" s="0" t="n">
        <v>9</v>
      </c>
      <c r="D13" s="7" t="s">
        <v>224</v>
      </c>
      <c r="F13" s="0" t="s">
        <v>22</v>
      </c>
      <c r="G13" s="0" t="s">
        <v>26</v>
      </c>
      <c r="H13" s="18"/>
      <c r="I13" s="32" t="n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customFormat="false" ht="15.75" hidden="false" customHeight="false" outlineLevel="0" collapsed="false">
      <c r="A14" s="47" t="s">
        <v>227</v>
      </c>
      <c r="B14" s="0" t="s">
        <v>228</v>
      </c>
      <c r="C14" s="0" t="n">
        <v>10</v>
      </c>
      <c r="D14" s="7" t="s">
        <v>172</v>
      </c>
      <c r="E14" s="0" t="s">
        <v>229</v>
      </c>
      <c r="F14" s="0" t="s">
        <v>16</v>
      </c>
      <c r="G14" s="0" t="s">
        <v>24</v>
      </c>
      <c r="H14" s="18"/>
      <c r="I14" s="32" t="n">
        <v>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customFormat="false" ht="15.75" hidden="false" customHeight="false" outlineLevel="0" collapsed="false">
      <c r="A15" s="47" t="s">
        <v>245</v>
      </c>
      <c r="B15" s="0" t="s">
        <v>246</v>
      </c>
      <c r="C15" s="0" t="n">
        <v>9</v>
      </c>
      <c r="D15" s="7" t="s">
        <v>247</v>
      </c>
      <c r="F15" s="0" t="s">
        <v>2</v>
      </c>
      <c r="G15" s="0" t="s">
        <v>24</v>
      </c>
      <c r="H15" s="18"/>
      <c r="I15" s="32" t="n">
        <v>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customFormat="false" ht="15.75" hidden="false" customHeight="false" outlineLevel="0" collapsed="false">
      <c r="A16" s="47" t="s">
        <v>250</v>
      </c>
      <c r="B16" s="0" t="s">
        <v>60</v>
      </c>
      <c r="C16" s="0" t="n">
        <v>9</v>
      </c>
      <c r="D16" s="7" t="s">
        <v>251</v>
      </c>
      <c r="E16" s="0" t="s">
        <v>252</v>
      </c>
      <c r="F16" s="0" t="s">
        <v>2</v>
      </c>
      <c r="G16" s="0" t="s">
        <v>27</v>
      </c>
      <c r="H16" s="18"/>
      <c r="I16" s="32" t="n">
        <v>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customFormat="false" ht="15.75" hidden="false" customHeight="false" outlineLevel="0" collapsed="false">
      <c r="A17" s="47" t="s">
        <v>270</v>
      </c>
      <c r="B17" s="0" t="s">
        <v>271</v>
      </c>
      <c r="C17" s="0" t="n">
        <v>8</v>
      </c>
      <c r="D17" s="7" t="s">
        <v>272</v>
      </c>
      <c r="F17" s="0" t="s">
        <v>2</v>
      </c>
      <c r="G17" s="0" t="s">
        <v>25</v>
      </c>
      <c r="H17" s="18"/>
      <c r="I17" s="32" t="n">
        <v>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customFormat="false" ht="15.75" hidden="false" customHeight="false" outlineLevel="0" collapsed="false">
      <c r="A18" s="47" t="s">
        <v>275</v>
      </c>
      <c r="B18" s="0" t="s">
        <v>276</v>
      </c>
      <c r="C18" s="0" t="n">
        <v>10</v>
      </c>
      <c r="D18" s="7" t="s">
        <v>130</v>
      </c>
      <c r="F18" s="0" t="s">
        <v>29</v>
      </c>
      <c r="G18" s="0" t="s">
        <v>26</v>
      </c>
      <c r="H18" s="18"/>
      <c r="I18" s="32" t="n">
        <v>1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customFormat="false" ht="15.75" hidden="false" customHeight="false" outlineLevel="0" collapsed="false">
      <c r="A19" s="47" t="s">
        <v>279</v>
      </c>
      <c r="B19" s="0" t="s">
        <v>280</v>
      </c>
      <c r="C19" s="0" t="n">
        <v>7</v>
      </c>
      <c r="D19" s="7" t="s">
        <v>281</v>
      </c>
      <c r="F19" s="0" t="s">
        <v>29</v>
      </c>
      <c r="G19" s="0" t="s">
        <v>24</v>
      </c>
      <c r="H19" s="18"/>
      <c r="I19" s="32" t="n"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customFormat="false" ht="15.75" hidden="false" customHeight="false" outlineLevel="0" collapsed="false">
      <c r="A20" s="47" t="s">
        <v>283</v>
      </c>
      <c r="B20" s="0" t="s">
        <v>95</v>
      </c>
      <c r="C20" s="0" t="n">
        <v>9</v>
      </c>
      <c r="D20" s="7" t="s">
        <v>130</v>
      </c>
      <c r="F20" s="0" t="s">
        <v>16</v>
      </c>
      <c r="G20" s="0" t="s">
        <v>25</v>
      </c>
      <c r="H20" s="18"/>
      <c r="I20" s="32" t="n">
        <v>1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customFormat="false" ht="15.75" hidden="false" customHeight="false" outlineLevel="0" collapsed="false">
      <c r="A21" s="47" t="s">
        <v>286</v>
      </c>
      <c r="B21" s="0" t="s">
        <v>280</v>
      </c>
      <c r="C21" s="0" t="n">
        <v>11</v>
      </c>
      <c r="D21" s="7" t="s">
        <v>287</v>
      </c>
      <c r="F21" s="0" t="s">
        <v>27</v>
      </c>
      <c r="G21" s="0" t="s">
        <v>30</v>
      </c>
      <c r="H21" s="18"/>
      <c r="I21" s="32" t="n"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15.75" hidden="false" customHeight="false" outlineLevel="0" collapsed="false">
      <c r="A22" s="47" t="s">
        <v>290</v>
      </c>
      <c r="B22" s="0" t="s">
        <v>291</v>
      </c>
      <c r="C22" s="0" t="n">
        <v>9</v>
      </c>
      <c r="D22" s="7" t="s">
        <v>292</v>
      </c>
      <c r="F22" s="0" t="s">
        <v>30</v>
      </c>
      <c r="G22" s="0" t="s">
        <v>25</v>
      </c>
      <c r="H22" s="18"/>
      <c r="I22" s="32" t="n"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customFormat="false" ht="15.75" hidden="false" customHeight="false" outlineLevel="0" collapsed="false">
      <c r="A23" s="47" t="s">
        <v>305</v>
      </c>
      <c r="B23" s="0" t="s">
        <v>306</v>
      </c>
      <c r="C23" s="0" t="n">
        <v>11</v>
      </c>
      <c r="D23" s="7" t="s">
        <v>130</v>
      </c>
      <c r="F23" s="0" t="s">
        <v>29</v>
      </c>
      <c r="G23" s="0" t="s">
        <v>27</v>
      </c>
      <c r="H23" s="18"/>
      <c r="I23" s="32" t="n">
        <v>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15.75" hidden="false" customHeight="false" outlineLevel="0" collapsed="false">
      <c r="A24" s="47" t="s">
        <v>309</v>
      </c>
      <c r="B24" s="0" t="s">
        <v>195</v>
      </c>
      <c r="C24" s="0" t="n">
        <v>10</v>
      </c>
      <c r="D24" s="7" t="s">
        <v>130</v>
      </c>
      <c r="E24" s="0" t="s">
        <v>310</v>
      </c>
      <c r="F24" s="0" t="s">
        <v>16</v>
      </c>
      <c r="G24" s="0" t="s">
        <v>25</v>
      </c>
      <c r="H24" s="18"/>
      <c r="I24" s="32" t="n"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15.75" hidden="false" customHeight="false" outlineLevel="0" collapsed="false">
      <c r="A25" s="47" t="s">
        <v>319</v>
      </c>
      <c r="B25" s="0" t="s">
        <v>204</v>
      </c>
      <c r="C25" s="0" t="n">
        <v>9</v>
      </c>
      <c r="D25" s="7" t="s">
        <v>320</v>
      </c>
      <c r="F25" s="0" t="s">
        <v>22</v>
      </c>
      <c r="G25" s="0" t="s">
        <v>27</v>
      </c>
      <c r="H25" s="18"/>
      <c r="I25" s="32" t="n">
        <v>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15.75" hidden="false" customHeight="false" outlineLevel="0" collapsed="false">
      <c r="A26" s="47" t="s">
        <v>326</v>
      </c>
      <c r="B26" s="0" t="s">
        <v>327</v>
      </c>
      <c r="C26" s="0" t="n">
        <v>8</v>
      </c>
      <c r="D26" s="7" t="s">
        <v>328</v>
      </c>
      <c r="F26" s="0" t="s">
        <v>2</v>
      </c>
      <c r="G26" s="0" t="s">
        <v>20</v>
      </c>
      <c r="H26" s="18"/>
      <c r="I26" s="32" t="n">
        <v>1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5.75" hidden="false" customHeight="false" outlineLevel="0" collapsed="false">
      <c r="A27" s="47" t="s">
        <v>337</v>
      </c>
      <c r="B27" s="0" t="s">
        <v>338</v>
      </c>
      <c r="C27" s="0" t="n">
        <v>7</v>
      </c>
      <c r="D27" s="7" t="s">
        <v>39</v>
      </c>
      <c r="F27" s="0" t="s">
        <v>22</v>
      </c>
      <c r="G27" s="0" t="s">
        <v>27</v>
      </c>
      <c r="H27" s="18"/>
      <c r="I27" s="32" t="n"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customFormat="false" ht="15.75" hidden="false" customHeight="false" outlineLevel="0" collapsed="false">
      <c r="A28" s="47" t="s">
        <v>343</v>
      </c>
      <c r="B28" s="0" t="s">
        <v>344</v>
      </c>
      <c r="C28" s="0" t="n">
        <v>10</v>
      </c>
      <c r="D28" s="7" t="s">
        <v>345</v>
      </c>
      <c r="F28" s="0" t="s">
        <v>27</v>
      </c>
      <c r="G28" s="0" t="s">
        <v>20</v>
      </c>
      <c r="H28" s="18"/>
      <c r="I28" s="32" t="n">
        <v>1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customFormat="false" ht="15.75" hidden="false" customHeight="false" outlineLevel="0" collapsed="false">
      <c r="A29" s="47" t="s">
        <v>362</v>
      </c>
      <c r="B29" s="0" t="s">
        <v>363</v>
      </c>
      <c r="C29" s="0" t="n">
        <v>7</v>
      </c>
      <c r="D29" s="7" t="s">
        <v>364</v>
      </c>
      <c r="F29" s="0" t="s">
        <v>24</v>
      </c>
      <c r="G29" s="0" t="s">
        <v>27</v>
      </c>
      <c r="H29" s="18"/>
      <c r="I29" s="32" t="n">
        <v>1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customFormat="false" ht="15.75" hidden="false" customHeight="false" outlineLevel="0" collapsed="false">
      <c r="A30" s="47" t="s">
        <v>382</v>
      </c>
      <c r="B30" s="0" t="s">
        <v>349</v>
      </c>
      <c r="C30" s="0" t="n">
        <v>10</v>
      </c>
      <c r="D30" s="7" t="s">
        <v>383</v>
      </c>
      <c r="F30" s="0" t="s">
        <v>29</v>
      </c>
      <c r="G30" s="0" t="s">
        <v>26</v>
      </c>
      <c r="H30" s="18"/>
      <c r="I30" s="32" t="n">
        <v>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customFormat="false" ht="15.75" hidden="false" customHeight="false" outlineLevel="0" collapsed="false">
      <c r="A31" s="47" t="s">
        <v>386</v>
      </c>
      <c r="B31" s="0" t="s">
        <v>387</v>
      </c>
      <c r="C31" s="0" t="n">
        <v>10</v>
      </c>
      <c r="D31" s="7" t="s">
        <v>39</v>
      </c>
      <c r="F31" s="0" t="s">
        <v>20</v>
      </c>
      <c r="G31" s="0" t="s">
        <v>25</v>
      </c>
      <c r="H31" s="18"/>
      <c r="I31" s="32" t="n">
        <v>1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customFormat="false" ht="15.75" hidden="false" customHeight="false" outlineLevel="0" collapsed="false">
      <c r="A32" s="47" t="s">
        <v>390</v>
      </c>
      <c r="B32" s="0" t="s">
        <v>195</v>
      </c>
      <c r="C32" s="0" t="n">
        <v>10</v>
      </c>
      <c r="D32" s="7" t="s">
        <v>39</v>
      </c>
      <c r="F32" s="0" t="s">
        <v>16</v>
      </c>
      <c r="G32" s="0" t="s">
        <v>25</v>
      </c>
      <c r="H32" s="18"/>
      <c r="I32" s="32" t="n">
        <v>1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customFormat="false" ht="15.75" hidden="false" customHeight="false" outlineLevel="0" collapsed="false">
      <c r="A33" s="47" t="s">
        <v>401</v>
      </c>
      <c r="B33" s="0" t="s">
        <v>349</v>
      </c>
      <c r="C33" s="0" t="n">
        <v>10</v>
      </c>
      <c r="D33" s="7" t="s">
        <v>96</v>
      </c>
      <c r="F33" s="0" t="s">
        <v>22</v>
      </c>
      <c r="G33" s="0" t="s">
        <v>24</v>
      </c>
      <c r="H33" s="18"/>
      <c r="I33" s="32" t="n">
        <v>1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customFormat="false" ht="15.75" hidden="false" customHeight="false" outlineLevel="0" collapsed="false">
      <c r="A34" s="47" t="s">
        <v>424</v>
      </c>
      <c r="B34" s="0" t="s">
        <v>168</v>
      </c>
      <c r="C34" s="0" t="n">
        <v>7</v>
      </c>
      <c r="D34" s="0" t="s">
        <v>61</v>
      </c>
      <c r="F34" s="0" t="s">
        <v>24</v>
      </c>
      <c r="G34" s="0" t="s">
        <v>22</v>
      </c>
      <c r="H34" s="18"/>
      <c r="I34" s="32" t="n"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customFormat="false" ht="15.75" hidden="false" customHeight="false" outlineLevel="0" collapsed="false">
      <c r="A35" s="47" t="s">
        <v>453</v>
      </c>
      <c r="B35" s="0" t="s">
        <v>204</v>
      </c>
      <c r="C35" s="0" t="n">
        <v>9</v>
      </c>
      <c r="D35" s="0" t="s">
        <v>454</v>
      </c>
      <c r="E35" s="0" t="s">
        <v>455</v>
      </c>
      <c r="F35" s="0" t="s">
        <v>22</v>
      </c>
      <c r="G35" s="0" t="s">
        <v>27</v>
      </c>
      <c r="H35" s="18"/>
      <c r="I35" s="32" t="n">
        <v>1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customFormat="false" ht="15.75" hidden="false" customHeight="false" outlineLevel="0" collapsed="false">
      <c r="A36" s="47" t="s">
        <v>458</v>
      </c>
      <c r="B36" s="0" t="s">
        <v>261</v>
      </c>
      <c r="C36" s="0" t="n">
        <v>10</v>
      </c>
      <c r="D36" s="0" t="s">
        <v>292</v>
      </c>
      <c r="F36" s="0" t="s">
        <v>30</v>
      </c>
      <c r="G36" s="0" t="s">
        <v>26</v>
      </c>
      <c r="H36" s="18"/>
      <c r="I36" s="32" t="n">
        <v>1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customFormat="false" ht="15.75" hidden="false" customHeight="false" outlineLevel="0" collapsed="false">
      <c r="A37" s="47" t="s">
        <v>464</v>
      </c>
      <c r="B37" s="0" t="s">
        <v>75</v>
      </c>
      <c r="C37" s="0" t="n">
        <v>8</v>
      </c>
      <c r="D37" s="0" t="s">
        <v>465</v>
      </c>
      <c r="F37" s="0" t="s">
        <v>24</v>
      </c>
      <c r="G37" s="0" t="s">
        <v>27</v>
      </c>
      <c r="H37" s="18"/>
      <c r="I37" s="32" t="n">
        <v>1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customFormat="false" ht="15.75" hidden="false" customHeight="false" outlineLevel="0" collapsed="false">
      <c r="A38" s="47" t="s">
        <v>468</v>
      </c>
      <c r="B38" s="0" t="s">
        <v>105</v>
      </c>
      <c r="C38" s="0" t="n">
        <v>10</v>
      </c>
      <c r="D38" s="0" t="s">
        <v>96</v>
      </c>
      <c r="F38" s="0" t="s">
        <v>29</v>
      </c>
      <c r="G38" s="0" t="s">
        <v>27</v>
      </c>
      <c r="H38" s="18"/>
      <c r="I38" s="32" t="n">
        <v>1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customFormat="false" ht="15.75" hidden="false" customHeight="false" outlineLevel="0" collapsed="false">
      <c r="A39" s="47" t="s">
        <v>471</v>
      </c>
      <c r="B39" s="0" t="s">
        <v>472</v>
      </c>
      <c r="C39" s="0" t="n">
        <v>7</v>
      </c>
      <c r="D39" s="0" t="n">
        <v>117</v>
      </c>
      <c r="F39" s="0" t="s">
        <v>22</v>
      </c>
      <c r="G39" s="0" t="s">
        <v>26</v>
      </c>
      <c r="H39" s="18"/>
      <c r="I39" s="32" t="n">
        <v>1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customFormat="false" ht="15.75" hidden="false" customHeight="false" outlineLevel="0" collapsed="false">
      <c r="A40" s="47" t="s">
        <v>486</v>
      </c>
      <c r="B40" s="0" t="s">
        <v>487</v>
      </c>
      <c r="C40" s="0" t="n">
        <v>10</v>
      </c>
      <c r="D40" s="0" t="s">
        <v>96</v>
      </c>
      <c r="F40" s="0" t="s">
        <v>29</v>
      </c>
      <c r="G40" s="0" t="s">
        <v>27</v>
      </c>
      <c r="H40" s="18"/>
      <c r="I40" s="32" t="n"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customFormat="false" ht="15.75" hidden="false" customHeight="false" outlineLevel="0" collapsed="false">
      <c r="A41" s="47" t="s">
        <v>490</v>
      </c>
      <c r="B41" s="0" t="s">
        <v>150</v>
      </c>
      <c r="C41" s="0" t="n">
        <v>10</v>
      </c>
      <c r="D41" s="0" t="s">
        <v>121</v>
      </c>
      <c r="F41" s="0" t="s">
        <v>27</v>
      </c>
      <c r="G41" s="0" t="s">
        <v>26</v>
      </c>
      <c r="H41" s="18"/>
      <c r="I41" s="32" t="n">
        <v>1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customFormat="false" ht="15.75" hidden="false" customHeight="false" outlineLevel="0" collapsed="false">
      <c r="A42" s="47" t="s">
        <v>511</v>
      </c>
      <c r="B42" s="0" t="s">
        <v>512</v>
      </c>
      <c r="C42" s="0" t="n">
        <v>7</v>
      </c>
      <c r="D42" s="0" t="n">
        <v>146</v>
      </c>
      <c r="F42" s="0" t="s">
        <v>29</v>
      </c>
      <c r="G42" s="0" t="s">
        <v>26</v>
      </c>
      <c r="H42" s="18"/>
      <c r="I42" s="32" t="n"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customFormat="false" ht="15.75" hidden="false" customHeight="false" outlineLevel="0" collapsed="false">
      <c r="A43" s="47" t="s">
        <v>519</v>
      </c>
      <c r="B43" s="0" t="s">
        <v>498</v>
      </c>
      <c r="C43" s="0" t="n">
        <v>7</v>
      </c>
      <c r="D43" s="0" t="s">
        <v>328</v>
      </c>
      <c r="F43" s="0" t="s">
        <v>30</v>
      </c>
      <c r="G43" s="0" t="s">
        <v>26</v>
      </c>
      <c r="H43" s="18"/>
      <c r="I43" s="32" t="n">
        <v>1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customFormat="false" ht="15.75" hidden="false" customHeight="false" outlineLevel="0" collapsed="false">
      <c r="A44" s="47" t="s">
        <v>530</v>
      </c>
      <c r="B44" s="0" t="s">
        <v>306</v>
      </c>
      <c r="C44" s="0" t="n">
        <v>7</v>
      </c>
      <c r="D44" s="0" t="n">
        <v>117</v>
      </c>
      <c r="F44" s="0" t="s">
        <v>24</v>
      </c>
      <c r="G44" s="0" t="s">
        <v>27</v>
      </c>
      <c r="H44" s="18"/>
      <c r="I44" s="32" t="n">
        <v>1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customFormat="false" ht="15.75" hidden="false" customHeight="false" outlineLevel="0" collapsed="false">
      <c r="A45" s="47" t="s">
        <v>533</v>
      </c>
      <c r="B45" s="0" t="s">
        <v>398</v>
      </c>
      <c r="C45" s="0" t="n">
        <v>10</v>
      </c>
      <c r="D45" s="0" t="n">
        <v>107</v>
      </c>
      <c r="F45" s="0" t="s">
        <v>22</v>
      </c>
      <c r="G45" s="0" t="s">
        <v>24</v>
      </c>
      <c r="H45" s="18"/>
      <c r="I45" s="32" t="n">
        <v>1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customFormat="false" ht="15.75" hidden="false" customHeight="false" outlineLevel="0" collapsed="false">
      <c r="A46" s="47" t="s">
        <v>540</v>
      </c>
      <c r="B46" s="0" t="s">
        <v>176</v>
      </c>
      <c r="C46" s="0" t="n">
        <v>8</v>
      </c>
      <c r="D46" s="0" t="s">
        <v>96</v>
      </c>
      <c r="F46" s="0" t="s">
        <v>29</v>
      </c>
      <c r="G46" s="0" t="s">
        <v>27</v>
      </c>
      <c r="H46" s="18"/>
      <c r="I46" s="32" t="n">
        <v>1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customFormat="false" ht="15.75" hidden="false" customHeight="false" outlineLevel="0" collapsed="false">
      <c r="A47" s="47" t="s">
        <v>439</v>
      </c>
      <c r="B47" s="0" t="s">
        <v>440</v>
      </c>
      <c r="C47" s="0" t="n">
        <v>6</v>
      </c>
      <c r="D47" s="0" t="n">
        <v>35</v>
      </c>
      <c r="F47" s="0" t="s">
        <v>30</v>
      </c>
      <c r="G47" s="0" t="s">
        <v>20</v>
      </c>
      <c r="H47" s="18"/>
      <c r="I47" s="32" t="n">
        <v>1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customFormat="false" ht="15.75" hidden="false" customHeight="false" outlineLevel="0" collapsed="false">
      <c r="A48" s="47" t="s">
        <v>556</v>
      </c>
      <c r="B48" s="0" t="s">
        <v>557</v>
      </c>
      <c r="C48" s="0" t="n">
        <v>8</v>
      </c>
      <c r="D48" s="0" t="s">
        <v>345</v>
      </c>
      <c r="F48" s="0" t="s">
        <v>29</v>
      </c>
      <c r="G48" s="0" t="s">
        <v>20</v>
      </c>
      <c r="H48" s="18"/>
      <c r="I48" s="32" t="n"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customFormat="false" ht="15.75" hidden="false" customHeight="false" outlineLevel="0" collapsed="false">
      <c r="A49" s="47" t="s">
        <v>569</v>
      </c>
      <c r="B49" s="0" t="s">
        <v>570</v>
      </c>
      <c r="C49" s="0" t="n">
        <v>7</v>
      </c>
      <c r="D49" s="7" t="s">
        <v>39</v>
      </c>
      <c r="F49" s="0" t="s">
        <v>30</v>
      </c>
      <c r="G49" s="0" t="s">
        <v>20</v>
      </c>
      <c r="H49" s="18"/>
      <c r="I49" s="32" t="n">
        <v>1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customFormat="false" ht="15.75" hidden="false" customHeight="false" outlineLevel="0" collapsed="false">
      <c r="A50" s="47" t="s">
        <v>573</v>
      </c>
      <c r="B50" s="0" t="s">
        <v>574</v>
      </c>
      <c r="C50" s="4" t="n">
        <v>8</v>
      </c>
      <c r="D50" s="0" t="n">
        <v>117</v>
      </c>
      <c r="F50" s="0" t="s">
        <v>2</v>
      </c>
      <c r="G50" s="0" t="s">
        <v>20</v>
      </c>
      <c r="H50" s="18"/>
      <c r="I50" s="32" t="n">
        <v>1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customFormat="false" ht="15.75" hidden="false" customHeight="false" outlineLevel="0" collapsed="false">
      <c r="A51" s="47" t="s">
        <v>578</v>
      </c>
      <c r="B51" s="0" t="s">
        <v>280</v>
      </c>
      <c r="C51" s="0" t="n">
        <v>7</v>
      </c>
      <c r="D51" s="7" t="s">
        <v>579</v>
      </c>
      <c r="G51" s="0" t="s">
        <v>27</v>
      </c>
      <c r="H51" s="18"/>
      <c r="I51" s="32" t="n">
        <v>1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customFormat="false" ht="15.75" hidden="false" customHeight="false" outlineLevel="0" collapsed="false">
      <c r="A52" s="47" t="s">
        <v>580</v>
      </c>
      <c r="B52" s="0" t="s">
        <v>581</v>
      </c>
      <c r="C52" s="0" t="n">
        <v>7</v>
      </c>
      <c r="D52" s="7" t="s">
        <v>39</v>
      </c>
      <c r="F52" s="0" t="s">
        <v>24</v>
      </c>
      <c r="G52" s="0" t="s">
        <v>27</v>
      </c>
      <c r="H52" s="18"/>
      <c r="I52" s="32" t="n">
        <v>1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customFormat="false" ht="15.75" hidden="false" customHeight="false" outlineLevel="0" collapsed="false">
      <c r="A53" s="48" t="s">
        <v>89</v>
      </c>
      <c r="B53" s="0" t="s">
        <v>90</v>
      </c>
      <c r="C53" s="0" t="n">
        <v>7</v>
      </c>
      <c r="D53" s="7" t="s">
        <v>91</v>
      </c>
      <c r="F53" s="0" t="s">
        <v>2</v>
      </c>
      <c r="G53" s="0" t="s">
        <v>16</v>
      </c>
      <c r="H53" s="18"/>
      <c r="I53" s="32" t="n">
        <v>1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customFormat="false" ht="15.75" hidden="false" customHeight="false" outlineLevel="0" collapsed="false">
      <c r="A54" s="48" t="s">
        <v>104</v>
      </c>
      <c r="B54" s="0" t="s">
        <v>105</v>
      </c>
      <c r="C54" s="0" t="n">
        <v>10</v>
      </c>
      <c r="D54" s="7" t="s">
        <v>106</v>
      </c>
      <c r="F54" s="0" t="s">
        <v>16</v>
      </c>
      <c r="G54" s="0" t="s">
        <v>30</v>
      </c>
      <c r="H54" s="18"/>
      <c r="I54" s="32" t="n">
        <v>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customFormat="false" ht="15.75" hidden="false" customHeight="false" outlineLevel="0" collapsed="false">
      <c r="A55" s="48" t="s">
        <v>185</v>
      </c>
      <c r="B55" s="0" t="s">
        <v>186</v>
      </c>
      <c r="C55" s="0" t="n">
        <v>9</v>
      </c>
      <c r="D55" s="7" t="s">
        <v>39</v>
      </c>
      <c r="F55" s="0" t="s">
        <v>29</v>
      </c>
      <c r="G55" s="0" t="s">
        <v>30</v>
      </c>
      <c r="H55" s="18"/>
      <c r="I55" s="32" t="n">
        <v>1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customFormat="false" ht="15.75" hidden="false" customHeight="false" outlineLevel="0" collapsed="false">
      <c r="A56" s="48" t="s">
        <v>348</v>
      </c>
      <c r="B56" s="0" t="s">
        <v>349</v>
      </c>
      <c r="C56" s="0" t="n">
        <v>7</v>
      </c>
      <c r="D56" s="7" t="s">
        <v>350</v>
      </c>
      <c r="F56" s="0" t="s">
        <v>24</v>
      </c>
      <c r="G56" s="0" t="s">
        <v>30</v>
      </c>
      <c r="H56" s="18"/>
      <c r="I56" s="32" t="n">
        <v>1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customFormat="false" ht="15.75" hidden="false" customHeight="false" outlineLevel="0" collapsed="false">
      <c r="A57" s="48" t="s">
        <v>353</v>
      </c>
      <c r="B57" s="0" t="s">
        <v>354</v>
      </c>
      <c r="C57" s="0" t="n">
        <v>7</v>
      </c>
      <c r="D57" s="7" t="s">
        <v>355</v>
      </c>
      <c r="F57" s="0" t="s">
        <v>24</v>
      </c>
      <c r="G57" s="0" t="s">
        <v>26</v>
      </c>
      <c r="H57" s="18"/>
      <c r="I57" s="32" t="n">
        <v>1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customFormat="false" ht="15.75" hidden="false" customHeight="false" outlineLevel="0" collapsed="false">
      <c r="A58" s="48" t="s">
        <v>375</v>
      </c>
      <c r="B58" s="0" t="s">
        <v>376</v>
      </c>
      <c r="C58" s="0" t="n">
        <v>7</v>
      </c>
      <c r="D58" s="7" t="s">
        <v>328</v>
      </c>
      <c r="F58" s="0" t="s">
        <v>29</v>
      </c>
      <c r="G58" s="0" t="s">
        <v>30</v>
      </c>
      <c r="H58" s="18"/>
      <c r="I58" s="32" t="n"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customFormat="false" ht="15.75" hidden="false" customHeight="false" outlineLevel="0" collapsed="false">
      <c r="A59" s="48" t="s">
        <v>379</v>
      </c>
      <c r="B59" s="0" t="s">
        <v>159</v>
      </c>
      <c r="C59" s="0" t="n">
        <v>7</v>
      </c>
      <c r="D59" s="7" t="s">
        <v>224</v>
      </c>
      <c r="F59" s="0" t="s">
        <v>24</v>
      </c>
      <c r="G59" s="0" t="s">
        <v>30</v>
      </c>
      <c r="H59" s="18"/>
      <c r="I59" s="32" t="n">
        <v>1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customFormat="false" ht="15.75" hidden="false" customHeight="false" outlineLevel="0" collapsed="false">
      <c r="A60" s="48" t="s">
        <v>404</v>
      </c>
      <c r="B60" s="0" t="s">
        <v>405</v>
      </c>
      <c r="C60" s="0" t="n">
        <v>10</v>
      </c>
      <c r="D60" s="7" t="s">
        <v>328</v>
      </c>
      <c r="F60" s="0" t="s">
        <v>16</v>
      </c>
      <c r="G60" s="0" t="s">
        <v>30</v>
      </c>
      <c r="H60" s="18"/>
      <c r="I60" s="32" t="n"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customFormat="false" ht="15.75" hidden="false" customHeight="false" outlineLevel="0" collapsed="false">
      <c r="A61" s="48" t="s">
        <v>408</v>
      </c>
      <c r="B61" s="0" t="s">
        <v>75</v>
      </c>
      <c r="C61" s="0" t="n">
        <v>7</v>
      </c>
      <c r="D61" s="7" t="s">
        <v>409</v>
      </c>
      <c r="F61" s="0" t="s">
        <v>24</v>
      </c>
      <c r="G61" s="0" t="s">
        <v>30</v>
      </c>
      <c r="H61" s="18"/>
      <c r="I61" s="32" t="n"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customFormat="false" ht="15.75" hidden="false" customHeight="false" outlineLevel="0" collapsed="false">
      <c r="A62" s="48" t="s">
        <v>432</v>
      </c>
      <c r="B62" s="0" t="s">
        <v>142</v>
      </c>
      <c r="C62" s="0" t="n">
        <v>7</v>
      </c>
      <c r="D62" s="0" t="s">
        <v>433</v>
      </c>
      <c r="F62" s="0" t="s">
        <v>27</v>
      </c>
      <c r="G62" s="0" t="s">
        <v>30</v>
      </c>
      <c r="H62" s="18"/>
      <c r="I62" s="32" t="n">
        <v>1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customFormat="false" ht="15.75" hidden="false" customHeight="false" outlineLevel="0" collapsed="false">
      <c r="A63" s="48" t="s">
        <v>194</v>
      </c>
      <c r="B63" s="0" t="s">
        <v>195</v>
      </c>
      <c r="C63" s="0" t="n">
        <v>10</v>
      </c>
      <c r="D63" s="7" t="s">
        <v>130</v>
      </c>
      <c r="F63" s="0" t="s">
        <v>22</v>
      </c>
      <c r="G63" s="0" t="s">
        <v>16</v>
      </c>
      <c r="H63" s="18"/>
      <c r="I63" s="32" t="n">
        <v>1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customFormat="false" ht="15.75" hidden="false" customHeight="false" outlineLevel="0" collapsed="false">
      <c r="A64" s="18" t="s">
        <v>64</v>
      </c>
      <c r="B64" s="0" t="s">
        <v>65</v>
      </c>
      <c r="C64" s="0" t="n">
        <v>10</v>
      </c>
      <c r="D64" s="7" t="s">
        <v>66</v>
      </c>
      <c r="F64" s="0" t="s">
        <v>29</v>
      </c>
      <c r="G64" s="0" t="s">
        <v>27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customFormat="false" ht="15.75" hidden="false" customHeight="false" outlineLevel="0" collapsed="false">
      <c r="A65" s="19" t="s">
        <v>69</v>
      </c>
      <c r="B65" s="0" t="s">
        <v>70</v>
      </c>
      <c r="C65" s="0" t="n">
        <v>9</v>
      </c>
      <c r="D65" s="7" t="s">
        <v>71</v>
      </c>
      <c r="F65" s="0" t="s">
        <v>20</v>
      </c>
      <c r="G65" s="0" t="s">
        <v>25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customFormat="false" ht="15.75" hidden="false" customHeight="false" outlineLevel="0" collapsed="false">
      <c r="A66" s="18" t="s">
        <v>84</v>
      </c>
      <c r="B66" s="0" t="s">
        <v>85</v>
      </c>
      <c r="C66" s="0" t="n">
        <v>9</v>
      </c>
      <c r="D66" s="7" t="s">
        <v>86</v>
      </c>
      <c r="F66" s="0" t="s">
        <v>16</v>
      </c>
      <c r="G66" s="0" t="s">
        <v>25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customFormat="false" ht="15.75" hidden="false" customHeight="false" outlineLevel="0" collapsed="false">
      <c r="A67" s="19" t="s">
        <v>109</v>
      </c>
      <c r="B67" s="0" t="s">
        <v>75</v>
      </c>
      <c r="C67" s="0" t="n">
        <v>7</v>
      </c>
      <c r="D67" s="7" t="s">
        <v>110</v>
      </c>
      <c r="F67" s="0" t="s">
        <v>24</v>
      </c>
      <c r="G67" s="0" t="s">
        <v>20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customFormat="false" ht="15.75" hidden="false" customHeight="false" outlineLevel="0" collapsed="false">
      <c r="A68" s="18" t="s">
        <v>113</v>
      </c>
      <c r="B68" s="0" t="s">
        <v>114</v>
      </c>
      <c r="C68" s="0" t="n">
        <v>9</v>
      </c>
      <c r="D68" s="7" t="s">
        <v>115</v>
      </c>
      <c r="E68" s="0" t="s">
        <v>116</v>
      </c>
      <c r="F68" s="0" t="s">
        <v>2</v>
      </c>
      <c r="G68" s="0" t="s">
        <v>16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customFormat="false" ht="15.75" hidden="false" customHeight="false" outlineLevel="0" collapsed="false">
      <c r="A69" s="20" t="s">
        <v>133</v>
      </c>
      <c r="B69" s="0" t="s">
        <v>134</v>
      </c>
      <c r="C69" s="0" t="n">
        <v>7</v>
      </c>
      <c r="D69" s="7" t="s">
        <v>130</v>
      </c>
      <c r="F69" s="0" t="s">
        <v>24</v>
      </c>
      <c r="G69" s="0" t="s">
        <v>20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customFormat="false" ht="15.75" hidden="false" customHeight="false" outlineLevel="0" collapsed="false">
      <c r="A70" s="19" t="s">
        <v>137</v>
      </c>
      <c r="B70" s="0" t="s">
        <v>138</v>
      </c>
      <c r="C70" s="0" t="n">
        <v>8</v>
      </c>
      <c r="D70" s="7" t="s">
        <v>39</v>
      </c>
      <c r="F70" s="0" t="s">
        <v>2</v>
      </c>
      <c r="G70" s="0" t="s">
        <v>20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customFormat="false" ht="15.75" hidden="false" customHeight="false" outlineLevel="0" collapsed="false">
      <c r="A71" s="19" t="s">
        <v>145</v>
      </c>
      <c r="B71" s="0" t="s">
        <v>146</v>
      </c>
      <c r="C71" s="0" t="n">
        <v>10</v>
      </c>
      <c r="D71" s="7" t="s">
        <v>39</v>
      </c>
      <c r="F71" s="0" t="s">
        <v>20</v>
      </c>
      <c r="G71" s="0" t="s">
        <v>26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customFormat="false" ht="15.75" hidden="false" customHeight="false" outlineLevel="0" collapsed="false">
      <c r="A72" s="20" t="s">
        <v>153</v>
      </c>
      <c r="B72" s="0" t="s">
        <v>154</v>
      </c>
      <c r="C72" s="0" t="n">
        <v>10</v>
      </c>
      <c r="D72" s="7" t="s">
        <v>91</v>
      </c>
      <c r="E72" s="0" t="s">
        <v>155</v>
      </c>
      <c r="F72" s="0" t="s">
        <v>20</v>
      </c>
      <c r="G72" s="0" t="s">
        <v>24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customFormat="false" ht="15.75" hidden="false" customHeight="false" outlineLevel="0" collapsed="false">
      <c r="A73" s="18" t="s">
        <v>158</v>
      </c>
      <c r="B73" s="0" t="s">
        <v>159</v>
      </c>
      <c r="C73" s="0" t="n">
        <v>9</v>
      </c>
      <c r="D73" s="7" t="s">
        <v>160</v>
      </c>
      <c r="F73" s="0" t="s">
        <v>2</v>
      </c>
      <c r="G73" s="0" t="s">
        <v>24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customFormat="false" ht="15.75" hidden="false" customHeight="false" outlineLevel="0" collapsed="false">
      <c r="A74" s="19" t="s">
        <v>163</v>
      </c>
      <c r="B74" s="0" t="s">
        <v>164</v>
      </c>
      <c r="C74" s="0" t="n">
        <v>9</v>
      </c>
      <c r="D74" s="7" t="s">
        <v>40</v>
      </c>
      <c r="F74" s="0" t="s">
        <v>30</v>
      </c>
      <c r="G74" s="0" t="s">
        <v>25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customFormat="false" ht="15.75" hidden="false" customHeight="false" outlineLevel="0" collapsed="false">
      <c r="A75" s="18" t="s">
        <v>171</v>
      </c>
      <c r="B75" s="0" t="s">
        <v>90</v>
      </c>
      <c r="C75" s="0" t="n">
        <v>10</v>
      </c>
      <c r="D75" s="7" t="s">
        <v>172</v>
      </c>
      <c r="F75" s="0" t="s">
        <v>22</v>
      </c>
      <c r="G75" s="0" t="s">
        <v>30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customFormat="false" ht="15.75" hidden="false" customHeight="false" outlineLevel="0" collapsed="false">
      <c r="A76" s="20" t="s">
        <v>180</v>
      </c>
      <c r="B76" s="0" t="s">
        <v>150</v>
      </c>
      <c r="C76" s="0" t="n">
        <v>8</v>
      </c>
      <c r="D76" s="7" t="s">
        <v>181</v>
      </c>
      <c r="E76" s="0" t="s">
        <v>182</v>
      </c>
      <c r="F76" s="0" t="s">
        <v>30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customFormat="false" ht="15.75" hidden="false" customHeight="false" outlineLevel="0" collapsed="false">
      <c r="A77" s="19" t="s">
        <v>189</v>
      </c>
      <c r="B77" s="0" t="s">
        <v>190</v>
      </c>
      <c r="C77" s="0" t="n">
        <v>9</v>
      </c>
      <c r="D77" s="7" t="s">
        <v>191</v>
      </c>
      <c r="F77" s="0" t="s">
        <v>16</v>
      </c>
      <c r="G77" s="0" t="s">
        <v>30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customFormat="false" ht="15.75" hidden="false" customHeight="false" outlineLevel="0" collapsed="false">
      <c r="A78" s="18" t="s">
        <v>198</v>
      </c>
      <c r="B78" s="0" t="s">
        <v>199</v>
      </c>
      <c r="C78" s="0" t="n">
        <v>9</v>
      </c>
      <c r="D78" s="7" t="s">
        <v>200</v>
      </c>
      <c r="E78" s="0" t="s">
        <v>201</v>
      </c>
      <c r="F78" s="0" t="s">
        <v>29</v>
      </c>
      <c r="G78" s="0" t="s">
        <v>26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customFormat="false" ht="15.75" hidden="false" customHeight="false" outlineLevel="0" collapsed="false">
      <c r="A79" s="18" t="s">
        <v>232</v>
      </c>
      <c r="B79" s="0" t="s">
        <v>105</v>
      </c>
      <c r="C79" s="0" t="n">
        <v>10</v>
      </c>
      <c r="D79" s="7" t="s">
        <v>233</v>
      </c>
      <c r="F79" s="0" t="s">
        <v>27</v>
      </c>
      <c r="G79" s="0" t="s">
        <v>20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customFormat="false" ht="15.75" hidden="false" customHeight="false" outlineLevel="0" collapsed="false">
      <c r="A80" s="20" t="s">
        <v>236</v>
      </c>
      <c r="B80" s="0" t="s">
        <v>237</v>
      </c>
      <c r="C80" s="0" t="n">
        <v>10</v>
      </c>
      <c r="D80" s="7" t="s">
        <v>40</v>
      </c>
      <c r="G80" s="0" t="s">
        <v>30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customFormat="false" ht="15.75" hidden="false" customHeight="false" outlineLevel="0" collapsed="false">
      <c r="A81" s="19" t="s">
        <v>240</v>
      </c>
      <c r="B81" s="0" t="s">
        <v>241</v>
      </c>
      <c r="C81" s="0" t="n">
        <v>10</v>
      </c>
      <c r="D81" s="7" t="s">
        <v>242</v>
      </c>
      <c r="F81" s="0" t="s">
        <v>24</v>
      </c>
      <c r="G81" s="0" t="s">
        <v>25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customFormat="false" ht="15.75" hidden="false" customHeight="false" outlineLevel="0" collapsed="false">
      <c r="A82" s="19" t="s">
        <v>255</v>
      </c>
      <c r="B82" s="0" t="s">
        <v>256</v>
      </c>
      <c r="C82" s="0" t="n">
        <v>10</v>
      </c>
      <c r="D82" s="7" t="s">
        <v>257</v>
      </c>
      <c r="F82" s="0" t="s">
        <v>2</v>
      </c>
      <c r="G82" s="0" t="s">
        <v>25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customFormat="false" ht="15.75" hidden="false" customHeight="false" outlineLevel="0" collapsed="false">
      <c r="A83" s="18" t="s">
        <v>260</v>
      </c>
      <c r="B83" s="0" t="s">
        <v>261</v>
      </c>
      <c r="C83" s="0" t="n">
        <v>10</v>
      </c>
      <c r="D83" s="7" t="s">
        <v>39</v>
      </c>
      <c r="E83" s="0" t="s">
        <v>262</v>
      </c>
      <c r="F83" s="0" t="s">
        <v>29</v>
      </c>
      <c r="G83" s="0" t="s">
        <v>27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customFormat="false" ht="15.75" hidden="false" customHeight="false" outlineLevel="0" collapsed="false">
      <c r="A84" s="18" t="s">
        <v>265</v>
      </c>
      <c r="B84" s="0" t="s">
        <v>266</v>
      </c>
      <c r="C84" s="0" t="n">
        <v>8</v>
      </c>
      <c r="D84" s="7" t="s">
        <v>267</v>
      </c>
      <c r="F84" s="0" t="s">
        <v>2</v>
      </c>
      <c r="G84" s="0" t="s">
        <v>20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customFormat="false" ht="15.75" hidden="false" customHeight="false" outlineLevel="0" collapsed="false">
      <c r="A85" s="18" t="s">
        <v>295</v>
      </c>
      <c r="B85" s="0" t="s">
        <v>142</v>
      </c>
      <c r="C85" s="0" t="n">
        <v>10</v>
      </c>
      <c r="D85" s="7" t="s">
        <v>296</v>
      </c>
      <c r="F85" s="0" t="s">
        <v>30</v>
      </c>
      <c r="G85" s="0" t="s">
        <v>24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customFormat="false" ht="15.75" hidden="false" customHeight="false" outlineLevel="0" collapsed="false">
      <c r="A86" s="19" t="s">
        <v>299</v>
      </c>
      <c r="B86" s="0" t="s">
        <v>300</v>
      </c>
      <c r="C86" s="0" t="n">
        <v>10</v>
      </c>
      <c r="D86" s="7" t="s">
        <v>301</v>
      </c>
      <c r="E86" s="0" t="s">
        <v>302</v>
      </c>
      <c r="F86" s="0" t="s">
        <v>29</v>
      </c>
      <c r="G86" s="0" t="s">
        <v>26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customFormat="false" ht="15.75" hidden="false" customHeight="false" outlineLevel="0" collapsed="false">
      <c r="A87" s="19" t="s">
        <v>313</v>
      </c>
      <c r="B87" s="0" t="s">
        <v>142</v>
      </c>
      <c r="C87" s="0" t="n">
        <v>10</v>
      </c>
      <c r="D87" s="7" t="s">
        <v>81</v>
      </c>
      <c r="F87" s="0" t="s">
        <v>29</v>
      </c>
      <c r="G87" s="0" t="s">
        <v>27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customFormat="false" ht="15.75" hidden="false" customHeight="false" outlineLevel="0" collapsed="false">
      <c r="A88" s="19" t="s">
        <v>323</v>
      </c>
      <c r="B88" s="0" t="s">
        <v>120</v>
      </c>
      <c r="C88" s="0" t="n">
        <v>9</v>
      </c>
      <c r="D88" s="7" t="s">
        <v>39</v>
      </c>
      <c r="F88" s="0" t="s">
        <v>2</v>
      </c>
      <c r="G88" s="0" t="s">
        <v>16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customFormat="false" ht="15.75" hidden="false" customHeight="false" outlineLevel="0" collapsed="false">
      <c r="A89" s="19" t="s">
        <v>331</v>
      </c>
      <c r="B89" s="0" t="s">
        <v>332</v>
      </c>
      <c r="C89" s="0" t="n">
        <v>8</v>
      </c>
      <c r="D89" s="7" t="s">
        <v>333</v>
      </c>
      <c r="E89" s="0" t="s">
        <v>334</v>
      </c>
      <c r="F89" s="0" t="s">
        <v>30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customFormat="false" ht="15.75" hidden="false" customHeight="false" outlineLevel="0" collapsed="false">
      <c r="A90" s="19" t="s">
        <v>337</v>
      </c>
      <c r="B90" s="0" t="s">
        <v>105</v>
      </c>
      <c r="C90" s="0" t="n">
        <v>7</v>
      </c>
      <c r="D90" s="7" t="s">
        <v>39</v>
      </c>
      <c r="F90" s="0" t="s">
        <v>24</v>
      </c>
      <c r="G90" s="0" t="s">
        <v>27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customFormat="false" ht="15.75" hidden="false" customHeight="false" outlineLevel="0" collapsed="false">
      <c r="A91" s="19" t="s">
        <v>367</v>
      </c>
      <c r="B91" s="0" t="s">
        <v>75</v>
      </c>
      <c r="C91" s="0" t="n">
        <v>10</v>
      </c>
      <c r="D91" s="7" t="s">
        <v>368</v>
      </c>
      <c r="F91" s="0" t="s">
        <v>22</v>
      </c>
      <c r="G91" s="0" t="s">
        <v>16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customFormat="false" ht="15.75" hidden="false" customHeight="false" outlineLevel="0" collapsed="false">
      <c r="A92" s="0" t="s">
        <v>371</v>
      </c>
      <c r="B92" s="0" t="s">
        <v>154</v>
      </c>
      <c r="C92" s="0" t="n">
        <v>9</v>
      </c>
      <c r="D92" s="7" t="s">
        <v>372</v>
      </c>
      <c r="F92" s="0" t="s">
        <v>16</v>
      </c>
      <c r="G92" s="0" t="s">
        <v>30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customFormat="false" ht="15.75" hidden="false" customHeight="false" outlineLevel="0" collapsed="false">
      <c r="A93" s="19" t="s">
        <v>417</v>
      </c>
      <c r="B93" s="0" t="s">
        <v>90</v>
      </c>
      <c r="C93" s="0" t="n">
        <v>9</v>
      </c>
      <c r="D93" s="7" t="s">
        <v>418</v>
      </c>
      <c r="F93" s="0" t="s">
        <v>30</v>
      </c>
      <c r="G93" s="0" t="s">
        <v>24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customFormat="false" ht="15.75" hidden="false" customHeight="false" outlineLevel="0" collapsed="false">
      <c r="A94" s="0" t="s">
        <v>421</v>
      </c>
      <c r="B94" s="0" t="s">
        <v>75</v>
      </c>
      <c r="C94" s="0" t="n">
        <v>10</v>
      </c>
      <c r="D94" s="0" t="n">
        <v>117</v>
      </c>
      <c r="F94" s="0" t="s">
        <v>2</v>
      </c>
      <c r="G94" s="0" t="s">
        <v>16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customFormat="false" ht="15.75" hidden="false" customHeight="false" outlineLevel="0" collapsed="false">
      <c r="A95" s="19" t="s">
        <v>427</v>
      </c>
      <c r="B95" s="0" t="s">
        <v>428</v>
      </c>
      <c r="C95" s="0" t="n">
        <v>10</v>
      </c>
      <c r="D95" s="0" t="s">
        <v>429</v>
      </c>
      <c r="F95" s="0" t="s">
        <v>22</v>
      </c>
      <c r="G95" s="0" t="s">
        <v>24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customFormat="false" ht="15.75" hidden="false" customHeight="false" outlineLevel="0" collapsed="false">
      <c r="A96" s="0" t="s">
        <v>446</v>
      </c>
      <c r="B96" s="0" t="s">
        <v>164</v>
      </c>
      <c r="C96" s="0" t="n">
        <v>9</v>
      </c>
      <c r="D96" s="0" t="n">
        <v>64</v>
      </c>
      <c r="F96" s="0" t="s">
        <v>20</v>
      </c>
      <c r="G96" s="0" t="s">
        <v>30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customFormat="false" ht="15.75" hidden="false" customHeight="false" outlineLevel="0" collapsed="false">
      <c r="A97" s="0" t="s">
        <v>461</v>
      </c>
      <c r="B97" s="0" t="s">
        <v>256</v>
      </c>
      <c r="C97" s="0" t="n">
        <v>7</v>
      </c>
      <c r="D97" s="0" t="n">
        <v>117</v>
      </c>
      <c r="F97" s="0" t="s">
        <v>30</v>
      </c>
      <c r="G97" s="0" t="s">
        <v>22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customFormat="false" ht="15.75" hidden="false" customHeight="false" outlineLevel="0" collapsed="false">
      <c r="A98" s="0" t="s">
        <v>475</v>
      </c>
      <c r="B98" s="0" t="s">
        <v>450</v>
      </c>
      <c r="C98" s="0" t="n">
        <v>10</v>
      </c>
      <c r="D98" s="0" t="s">
        <v>476</v>
      </c>
      <c r="F98" s="0" t="s">
        <v>22</v>
      </c>
      <c r="G98" s="0" t="s">
        <v>24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customFormat="false" ht="15.75" hidden="false" customHeight="false" outlineLevel="0" collapsed="false">
      <c r="A99" s="0" t="s">
        <v>479</v>
      </c>
      <c r="B99" s="0" t="s">
        <v>480</v>
      </c>
      <c r="C99" s="0" t="n">
        <v>8</v>
      </c>
      <c r="D99" s="0" t="s">
        <v>328</v>
      </c>
      <c r="F99" s="0" t="s">
        <v>2</v>
      </c>
      <c r="G99" s="0" t="s">
        <v>24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customFormat="false" ht="15.75" hidden="false" customHeight="false" outlineLevel="0" collapsed="false">
      <c r="A100" s="0" t="s">
        <v>483</v>
      </c>
      <c r="B100" s="0" t="s">
        <v>354</v>
      </c>
      <c r="C100" s="0" t="n">
        <v>8</v>
      </c>
      <c r="D100" s="0" t="s">
        <v>328</v>
      </c>
      <c r="F100" s="0" t="s">
        <v>29</v>
      </c>
      <c r="G100" s="0" t="s">
        <v>30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customFormat="false" ht="15.75" hidden="false" customHeight="false" outlineLevel="0" collapsed="false">
      <c r="A101" s="19" t="s">
        <v>493</v>
      </c>
      <c r="B101" s="0" t="s">
        <v>228</v>
      </c>
      <c r="C101" s="0" t="n">
        <v>10</v>
      </c>
      <c r="D101" s="0" t="s">
        <v>494</v>
      </c>
      <c r="F101" s="0" t="s">
        <v>29</v>
      </c>
      <c r="G101" s="0" t="s">
        <v>26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customFormat="false" ht="15.75" hidden="false" customHeight="false" outlineLevel="0" collapsed="false">
      <c r="A102" s="20" t="s">
        <v>497</v>
      </c>
      <c r="B102" s="0" t="s">
        <v>498</v>
      </c>
      <c r="C102" s="0" t="n">
        <v>7</v>
      </c>
      <c r="D102" s="0" t="s">
        <v>71</v>
      </c>
      <c r="E102" s="0" t="s">
        <v>499</v>
      </c>
      <c r="F102" s="0" t="s">
        <v>24</v>
      </c>
      <c r="G102" s="0" t="s">
        <v>22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customFormat="false" ht="15.75" hidden="false" customHeight="false" outlineLevel="0" collapsed="false">
      <c r="A103" s="20" t="s">
        <v>502</v>
      </c>
      <c r="B103" s="0" t="s">
        <v>280</v>
      </c>
      <c r="C103" s="0" t="n">
        <v>8</v>
      </c>
      <c r="D103" s="0" t="s">
        <v>503</v>
      </c>
      <c r="F103" s="0" t="s">
        <v>29</v>
      </c>
      <c r="G103" s="0" t="s">
        <v>26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customFormat="false" ht="15.75" hidden="false" customHeight="false" outlineLevel="0" collapsed="false">
      <c r="A104" s="20" t="s">
        <v>505</v>
      </c>
      <c r="B104" s="0" t="s">
        <v>506</v>
      </c>
      <c r="C104" s="0" t="n">
        <v>7</v>
      </c>
      <c r="D104" s="0" t="s">
        <v>507</v>
      </c>
      <c r="E104" s="0" t="s">
        <v>508</v>
      </c>
      <c r="F104" s="0" t="s">
        <v>20</v>
      </c>
      <c r="G104" s="0" t="s">
        <v>22</v>
      </c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customFormat="false" ht="15.75" hidden="false" customHeight="false" outlineLevel="0" collapsed="false">
      <c r="A105" s="0" t="s">
        <v>515</v>
      </c>
      <c r="B105" s="0" t="s">
        <v>498</v>
      </c>
      <c r="C105" s="0" t="n">
        <v>5</v>
      </c>
      <c r="D105" s="0" t="s">
        <v>516</v>
      </c>
      <c r="F105" s="0" t="s">
        <v>27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customFormat="false" ht="15.75" hidden="false" customHeight="false" outlineLevel="0" collapsed="false">
      <c r="A106" s="19" t="s">
        <v>526</v>
      </c>
      <c r="B106" s="0" t="s">
        <v>527</v>
      </c>
      <c r="C106" s="0" t="n">
        <v>8</v>
      </c>
      <c r="D106" s="0" t="s">
        <v>281</v>
      </c>
      <c r="F106" s="0" t="s">
        <v>2</v>
      </c>
      <c r="G106" s="0" t="s">
        <v>25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customFormat="false" ht="15.75" hidden="false" customHeight="false" outlineLevel="0" collapsed="false">
      <c r="A107" s="0" t="s">
        <v>543</v>
      </c>
      <c r="B107" s="0" t="s">
        <v>480</v>
      </c>
      <c r="C107" s="0" t="n">
        <v>7</v>
      </c>
      <c r="D107" s="0" t="n">
        <v>117</v>
      </c>
      <c r="F107" s="0" t="s">
        <v>24</v>
      </c>
      <c r="G107" s="0" t="s">
        <v>22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customFormat="false" ht="15.75" hidden="false" customHeight="false" outlineLevel="0" collapsed="false">
      <c r="A108" s="19" t="s">
        <v>546</v>
      </c>
      <c r="B108" s="0" t="s">
        <v>547</v>
      </c>
      <c r="C108" s="0" t="n">
        <v>11</v>
      </c>
      <c r="D108" s="7" t="s">
        <v>39</v>
      </c>
      <c r="F108" s="0" t="s">
        <v>20</v>
      </c>
      <c r="G108" s="0" t="s">
        <v>16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customFormat="false" ht="15.75" hidden="false" customHeight="false" outlineLevel="0" collapsed="false">
      <c r="A109" s="0" t="s">
        <v>552</v>
      </c>
      <c r="B109" s="0" t="s">
        <v>256</v>
      </c>
      <c r="C109" s="0" t="n">
        <v>7</v>
      </c>
      <c r="D109" s="0" t="n">
        <v>117</v>
      </c>
      <c r="E109" s="0" t="s">
        <v>553</v>
      </c>
      <c r="F109" s="0" t="s">
        <v>24</v>
      </c>
      <c r="G109" s="0" t="s">
        <v>22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customFormat="false" ht="15.75" hidden="false" customHeight="false" outlineLevel="0" collapsed="false">
      <c r="A110" s="19" t="s">
        <v>560</v>
      </c>
      <c r="B110" s="0" t="s">
        <v>142</v>
      </c>
      <c r="C110" s="0" t="n">
        <v>8</v>
      </c>
      <c r="D110" s="0" t="s">
        <v>561</v>
      </c>
      <c r="E110" s="0" t="s">
        <v>562</v>
      </c>
      <c r="F110" s="0" t="s">
        <v>20</v>
      </c>
      <c r="G110" s="0" t="s">
        <v>16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customFormat="false" ht="15.75" hidden="false" customHeight="false" outlineLevel="0" collapsed="false">
      <c r="A111" s="0" t="s">
        <v>565</v>
      </c>
      <c r="B111" s="0" t="s">
        <v>359</v>
      </c>
      <c r="C111" s="0" t="n">
        <v>9</v>
      </c>
      <c r="D111" s="7" t="s">
        <v>566</v>
      </c>
      <c r="F111" s="0" t="s">
        <v>29</v>
      </c>
      <c r="G111" s="0" t="s">
        <v>26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customFormat="false" ht="15.75" hidden="false" customHeight="false" outlineLevel="0" collapsed="false">
      <c r="A112" s="0" t="s">
        <v>577</v>
      </c>
      <c r="B112" s="0" t="s">
        <v>338</v>
      </c>
      <c r="C112" s="0" t="n">
        <v>11</v>
      </c>
      <c r="D112" s="7" t="s">
        <v>40</v>
      </c>
      <c r="F112" s="0" t="s">
        <v>20</v>
      </c>
      <c r="G112" s="0" t="s">
        <v>22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customFormat="false" ht="15.75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customFormat="false" ht="15.75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customFormat="false" ht="15.75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 t="n">
        <f aca="false">SUM(I1:I112)</f>
        <v>63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customFormat="false" ht="15.75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customFormat="false" ht="15.75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customFormat="false" ht="15.75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customFormat="false" ht="15.75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customFormat="false" ht="15.75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customFormat="false" ht="15.75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customFormat="false" ht="15.75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customFormat="false" ht="15.75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customFormat="false" ht="15.75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customFormat="false" ht="15.75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customFormat="false" ht="15.75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customFormat="false" ht="15.75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customFormat="false" ht="15.75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customFormat="false" ht="15.75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customFormat="false" ht="15.75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customFormat="false" ht="15.75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customFormat="false" ht="15.75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customFormat="false" ht="15.75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customFormat="false" ht="15.75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customFormat="false" ht="15.75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customFormat="false" ht="15.75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customFormat="false" ht="15.75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customFormat="false" ht="15.75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customFormat="false" ht="15.75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customFormat="false" ht="15.75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customFormat="false" ht="15.75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customFormat="false" ht="15.75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customFormat="false" ht="15.75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customFormat="false" ht="15.75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customFormat="false" ht="15.75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customFormat="false" ht="15.75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customFormat="false" ht="15.75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customFormat="false" ht="15.75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customFormat="false" ht="15.75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customFormat="false" ht="15.75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customFormat="false" ht="15.75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customFormat="false" ht="15.75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customFormat="false" ht="15.75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customFormat="false" ht="15.75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customFormat="false" ht="15.75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customFormat="false" ht="15.75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customFormat="false" ht="15.75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customFormat="false" ht="15.75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customFormat="false" ht="15.75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customFormat="false" ht="15.75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customFormat="false" ht="15.75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customFormat="false" ht="15.75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customFormat="false" ht="15.75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customFormat="false" ht="15.75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customFormat="false" ht="15.75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customFormat="false" ht="15.75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customFormat="false" ht="15.75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customFormat="false" ht="15.75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customFormat="false" ht="15.75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customFormat="false" ht="15.75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customFormat="false" ht="15.75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customFormat="false" ht="15.75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customFormat="false" ht="15.75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customFormat="false" ht="15.75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customFormat="false" ht="15.75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customFormat="false" ht="15.75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customFormat="false" ht="15.75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customFormat="false" ht="15.75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customFormat="false" ht="15.75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customFormat="false" ht="15.75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customFormat="false" ht="15.75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customFormat="false" ht="15.75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customFormat="false" ht="15.75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customFormat="false" ht="15.75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customFormat="false" ht="15.75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customFormat="false" ht="15.75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customFormat="false" ht="15.75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customFormat="false" ht="15.75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customFormat="false" ht="15.75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customFormat="false" ht="15.75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customFormat="false" ht="15.75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customFormat="false" ht="15.75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customFormat="false" ht="15.75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customFormat="false" ht="15.75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customFormat="false" ht="15.75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customFormat="false" ht="15.75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customFormat="false" ht="15.75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customFormat="false" ht="15.75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customFormat="false" ht="15.75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customFormat="false" ht="15.75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customFormat="false" ht="15.75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customFormat="false" ht="15.75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customFormat="false" ht="15.75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customFormat="false" ht="15.75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customFormat="false" ht="15.75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customFormat="false" ht="15.75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customFormat="false" ht="15.75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customFormat="false" ht="15.75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customFormat="false" ht="15.75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customFormat="false" ht="15.75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customFormat="false" ht="15.75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customFormat="false" ht="15.75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customFormat="false" ht="15.75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customFormat="false" ht="15.75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customFormat="false" ht="15.75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customFormat="false" ht="15.75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customFormat="false" ht="15.75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customFormat="false" ht="15.75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customFormat="false" ht="15.75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customFormat="false" ht="15.75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customFormat="false" ht="15.75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customFormat="false" ht="15.75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customFormat="false" ht="15.75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customFormat="false" ht="15.75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customFormat="false" ht="15.75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customFormat="false" ht="15.75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customFormat="false" ht="15.75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customFormat="false" ht="15.75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customFormat="false" ht="15.75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customFormat="false" ht="15.75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customFormat="false" ht="15.75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customFormat="false" ht="15.75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customFormat="false" ht="15.75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customFormat="false" ht="15.75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customFormat="false" ht="15.75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customFormat="false" ht="15.75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customFormat="false" ht="15.75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customFormat="false" ht="15.75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customFormat="false" ht="15.75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customFormat="false" ht="15.75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customFormat="false" ht="15.75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customFormat="false" ht="15.75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customFormat="false" ht="15.75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customFormat="false" ht="15.75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customFormat="false" ht="15.75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customFormat="false" ht="15.75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customFormat="false" ht="15.75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customFormat="false" ht="15.75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customFormat="false" ht="15.75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customFormat="false" ht="15.75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customFormat="false" ht="15.75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customFormat="false" ht="15.75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customFormat="false" ht="15.75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customFormat="false" ht="15.75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customFormat="false" ht="15.75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customFormat="false" ht="15.75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customFormat="false" ht="15.75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customFormat="false" ht="15.75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customFormat="false" ht="15.75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customFormat="false" ht="15.75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customFormat="false" ht="15.75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customFormat="false" ht="15.75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customFormat="false" ht="15.75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customFormat="false" ht="15.75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customFormat="false" ht="15.75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customFormat="false" ht="15.75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customFormat="false" ht="15.75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customFormat="false" ht="15.75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customFormat="false" ht="15.75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customFormat="false" ht="15.75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customFormat="false" ht="15.75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customFormat="false" ht="15.75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customFormat="false" ht="15.75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customFormat="false" ht="15.75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customFormat="false" ht="15.75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customFormat="false" ht="15.75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customFormat="false" ht="15.75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customFormat="false" ht="15.75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customFormat="false" ht="15.75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customFormat="false" ht="15.75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customFormat="false" ht="15.75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customFormat="false" ht="15.75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customFormat="false" ht="15.75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customFormat="false" ht="15.75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customFormat="false" ht="15.75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customFormat="false" ht="15.75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customFormat="false" ht="15.75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customFormat="false" ht="15.75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customFormat="false" ht="15.75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customFormat="false" ht="15.75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customFormat="false" ht="15.75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customFormat="false" ht="15.75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customFormat="false" ht="15.75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customFormat="false" ht="15.75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customFormat="false" ht="15.75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customFormat="false" ht="15.75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customFormat="false" ht="15.75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customFormat="false" ht="15.75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customFormat="false" ht="15.75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customFormat="false" ht="15.75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customFormat="false" ht="15.75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customFormat="false" ht="15.75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customFormat="false" ht="15.75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customFormat="false" ht="15.75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customFormat="false" ht="15.75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customFormat="false" ht="15.75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customFormat="false" ht="15.75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customFormat="false" ht="15.75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customFormat="false" ht="15.75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customFormat="false" ht="15.75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customFormat="false" ht="15.75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customFormat="false" ht="15.75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customFormat="false" ht="15.75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customFormat="false" ht="15.75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customFormat="false" ht="15.75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customFormat="false" ht="15.75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customFormat="false" ht="15.75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customFormat="false" ht="15.75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customFormat="false" ht="15.75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customFormat="false" ht="15.75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customFormat="false" ht="15.75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customFormat="false" ht="15.75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customFormat="false" ht="15.75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customFormat="false" ht="15.75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customFormat="false" ht="15.75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customFormat="false" ht="15.75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customFormat="false" ht="15.75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customFormat="false" ht="15.75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customFormat="false" ht="15.75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customFormat="false" ht="15.75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customFormat="false" ht="15.75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customFormat="false" ht="15.75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customFormat="false" ht="15.75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customFormat="false" ht="15.75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customFormat="false" ht="15.75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customFormat="false" ht="15.75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customFormat="false" ht="15.75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customFormat="false" ht="15.75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customFormat="false" ht="15.75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customFormat="false" ht="15.75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customFormat="false" ht="15.75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customFormat="false" ht="15.75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customFormat="false" ht="15.75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customFormat="false" ht="15.75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customFormat="false" ht="15.75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customFormat="false" ht="15.75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customFormat="false" ht="15.75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customFormat="false" ht="15.75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customFormat="false" ht="15.75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customFormat="false" ht="15.75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customFormat="false" ht="15.75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customFormat="false" ht="15.75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customFormat="false" ht="15.75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customFormat="false" ht="15.75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customFormat="false" ht="15.75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customFormat="false" ht="15.75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customFormat="false" ht="15.75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customFormat="false" ht="15.75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customFormat="false" ht="15.75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customFormat="false" ht="15.75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customFormat="false" ht="15.75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customFormat="false" ht="15.75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customFormat="false" ht="15.75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customFormat="false" ht="15.75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customFormat="false" ht="15.75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customFormat="false" ht="15.75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customFormat="false" ht="15.75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customFormat="false" ht="15.75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customFormat="false" ht="15.75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customFormat="false" ht="15.75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customFormat="false" ht="15.75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customFormat="false" ht="15.75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customFormat="false" ht="15.75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customFormat="false" ht="15.75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customFormat="false" ht="15.75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customFormat="false" ht="15.75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customFormat="false" ht="15.75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customFormat="false" ht="15.75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customFormat="false" ht="15.75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customFormat="false" ht="15.75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customFormat="false" ht="15.75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customFormat="false" ht="15.75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customFormat="false" ht="15.75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customFormat="false" ht="15.75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customFormat="false" ht="15.7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customFormat="false" ht="15.75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customFormat="false" ht="15.75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customFormat="false" ht="15.75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customFormat="false" ht="15.75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customFormat="false" ht="15.75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customFormat="false" ht="15.75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customFormat="false" ht="15.75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customFormat="false" ht="15.75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customFormat="false" ht="15.75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customFormat="false" ht="15.75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customFormat="false" ht="15.75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customFormat="false" ht="15.75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customFormat="false" ht="15.75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customFormat="false" ht="15.75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customFormat="false" ht="15.75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customFormat="false" ht="15.75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customFormat="false" ht="15.75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customFormat="false" ht="15.75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customFormat="false" ht="15.75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customFormat="false" ht="15.75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customFormat="false" ht="15.75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customFormat="false" ht="15.75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customFormat="false" ht="15.75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customFormat="false" ht="15.75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customFormat="false" ht="15.75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customFormat="false" ht="15.75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customFormat="false" ht="15.75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customFormat="false" ht="15.75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customFormat="false" ht="15.75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customFormat="false" ht="15.75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customFormat="false" ht="15.75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customFormat="false" ht="15.75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customFormat="false" ht="15.75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customFormat="false" ht="15.7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customFormat="false" ht="15.75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customFormat="false" ht="15.75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customFormat="false" ht="15.75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customFormat="false" ht="15.75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customFormat="false" ht="15.75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customFormat="false" ht="15.75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customFormat="false" ht="15.75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customFormat="false" ht="15.75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customFormat="false" ht="15.75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customFormat="false" ht="15.75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customFormat="false" ht="15.75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customFormat="false" ht="15.75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customFormat="false" ht="15.75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customFormat="false" ht="15.75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customFormat="false" ht="15.75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customFormat="false" ht="15.75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customFormat="false" ht="15.75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customFormat="false" ht="15.75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customFormat="false" ht="15.75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customFormat="false" ht="15.75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customFormat="false" ht="15.75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customFormat="false" ht="15.75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customFormat="false" ht="15.75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customFormat="false" ht="15.75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customFormat="false" ht="15.75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customFormat="false" ht="15.75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customFormat="false" ht="15.75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customFormat="false" ht="15.75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customFormat="false" ht="15.75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customFormat="false" ht="15.75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customFormat="false" ht="15.75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customFormat="false" ht="15.75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customFormat="false" ht="15.75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customFormat="false" ht="15.75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customFormat="false" ht="15.75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customFormat="false" ht="15.75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customFormat="false" ht="15.75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customFormat="false" ht="15.75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customFormat="false" ht="15.75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customFormat="false" ht="15.75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customFormat="false" ht="15.75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customFormat="false" ht="15.75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customFormat="false" ht="15.75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customFormat="false" ht="15.75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customFormat="false" ht="15.75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customFormat="false" ht="15.75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customFormat="false" ht="15.75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customFormat="false" ht="15.75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customFormat="false" ht="15.75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customFormat="false" ht="15.75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customFormat="false" ht="15.75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customFormat="false" ht="15.75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customFormat="false" ht="15.75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customFormat="false" ht="15.75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customFormat="false" ht="15.75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customFormat="false" ht="15.75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customFormat="false" ht="15.75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customFormat="false" ht="15.75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customFormat="false" ht="15.75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customFormat="false" ht="15.75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customFormat="false" ht="15.75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customFormat="false" ht="15.75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customFormat="false" ht="15.75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customFormat="false" ht="15.75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customFormat="false" ht="15.75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customFormat="false" ht="15.75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customFormat="false" ht="15.75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customFormat="false" ht="15.75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customFormat="false" ht="15.75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customFormat="false" ht="15.75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customFormat="false" ht="15.75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customFormat="false" ht="15.75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customFormat="false" ht="15.75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customFormat="false" ht="15.75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customFormat="false" ht="15.75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customFormat="false" ht="15.75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customFormat="false" ht="15.75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customFormat="false" ht="15.75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customFormat="false" ht="15.75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customFormat="false" ht="15.75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customFormat="false" ht="15.75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customFormat="false" ht="15.75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customFormat="false" ht="15.75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customFormat="false" ht="15.75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customFormat="false" ht="15.75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customFormat="false" ht="15.75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customFormat="false" ht="15.75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customFormat="false" ht="15.75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customFormat="false" ht="15.75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customFormat="false" ht="15.75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customFormat="false" ht="15.75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customFormat="false" ht="15.75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customFormat="false" ht="15.75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customFormat="false" ht="15.75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customFormat="false" ht="15.75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customFormat="false" ht="15.75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customFormat="false" ht="15.75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customFormat="false" ht="15.75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customFormat="false" ht="15.75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customFormat="false" ht="15.75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customFormat="false" ht="15.75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customFormat="false" ht="15.75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customFormat="false" ht="15.75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customFormat="false" ht="15.75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customFormat="false" ht="15.75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customFormat="false" ht="15.75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customFormat="false" ht="15.75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customFormat="false" ht="15.75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customFormat="false" ht="15.75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customFormat="false" ht="15.75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customFormat="false" ht="15.75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customFormat="false" ht="15.75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customFormat="false" ht="15.75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customFormat="false" ht="15.75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customFormat="false" ht="15.75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customFormat="false" ht="15.75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customFormat="false" ht="15.75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customFormat="false" ht="15.75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customFormat="false" ht="15.75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customFormat="false" ht="15.75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customFormat="false" ht="15.75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customFormat="false" ht="15.75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customFormat="false" ht="15.75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customFormat="false" ht="15.75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customFormat="false" ht="15.75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customFormat="false" ht="15.75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customFormat="false" ht="15.75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customFormat="false" ht="15.75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customFormat="false" ht="15.75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customFormat="false" ht="15.75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customFormat="false" ht="15.75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customFormat="false" ht="15.75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customFormat="false" ht="15.75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customFormat="false" ht="15.75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customFormat="false" ht="15.75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customFormat="false" ht="15.75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customFormat="false" ht="15.75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customFormat="false" ht="15.75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customFormat="false" ht="15.75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customFormat="false" ht="15.75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customFormat="false" ht="15.75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customFormat="false" ht="15.75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customFormat="false" ht="15.75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customFormat="false" ht="15.75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customFormat="false" ht="15.75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customFormat="false" ht="15.75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customFormat="false" ht="15.75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customFormat="false" ht="15.75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customFormat="false" ht="15.75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customFormat="false" ht="15.75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customFormat="false" ht="15.75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customFormat="false" ht="15.75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customFormat="false" ht="15.75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customFormat="false" ht="15.75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customFormat="false" ht="15.75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customFormat="false" ht="15.75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customFormat="false" ht="15.75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customFormat="false" ht="15.75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customFormat="false" ht="15.75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customFormat="false" ht="15.75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customFormat="false" ht="15.75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customFormat="false" ht="15.75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customFormat="false" ht="15.75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customFormat="false" ht="15.75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customFormat="false" ht="15.7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customFormat="false" ht="15.75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customFormat="false" ht="15.75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customFormat="false" ht="15.75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customFormat="false" ht="15.75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customFormat="false" ht="15.75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customFormat="false" ht="15.75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customFormat="false" ht="15.75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customFormat="false" ht="15.75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customFormat="false" ht="15.75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customFormat="false" ht="15.75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customFormat="false" ht="15.75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customFormat="false" ht="15.75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customFormat="false" ht="15.75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customFormat="false" ht="15.75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customFormat="false" ht="15.75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customFormat="false" ht="15.75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customFormat="false" ht="15.75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customFormat="false" ht="15.75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customFormat="false" ht="15.75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customFormat="false" ht="15.75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customFormat="false" ht="15.75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customFormat="false" ht="15.75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customFormat="false" ht="15.75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customFormat="false" ht="15.75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customFormat="false" ht="15.75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customFormat="false" ht="15.75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customFormat="false" ht="15.75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customFormat="false" ht="15.75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customFormat="false" ht="15.75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customFormat="false" ht="15.75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customFormat="false" ht="15.75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customFormat="false" ht="15.75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customFormat="false" ht="15.75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customFormat="false" ht="15.75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customFormat="false" ht="15.75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customFormat="false" ht="15.75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customFormat="false" ht="15.75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customFormat="false" ht="15.75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customFormat="false" ht="15.75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customFormat="false" ht="15.75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customFormat="false" ht="15.75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customFormat="false" ht="15.75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customFormat="false" ht="15.75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customFormat="false" ht="15.75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customFormat="false" ht="15.75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customFormat="false" ht="15.75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customFormat="false" ht="15.75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customFormat="false" ht="15.75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customFormat="false" ht="15.75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customFormat="false" ht="15.75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customFormat="false" ht="15.75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customFormat="false" ht="15.75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customFormat="false" ht="15.75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customFormat="false" ht="15.75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customFormat="false" ht="15.75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customFormat="false" ht="15.75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customFormat="false" ht="15.75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customFormat="false" ht="15.75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customFormat="false" ht="15.75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customFormat="false" ht="15.75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customFormat="false" ht="15.75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customFormat="false" ht="15.75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customFormat="false" ht="15.75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customFormat="false" ht="15.75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customFormat="false" ht="15.75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customFormat="false" ht="15.75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customFormat="false" ht="15.75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customFormat="false" ht="15.75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customFormat="false" ht="15.75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customFormat="false" ht="15.75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customFormat="false" ht="15.75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customFormat="false" ht="15.75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customFormat="false" ht="15.75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customFormat="false" ht="15.75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customFormat="false" ht="15.75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customFormat="false" ht="15.75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customFormat="false" ht="15.75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customFormat="false" ht="15.75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customFormat="false" ht="15.75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customFormat="false" ht="15.75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customFormat="false" ht="15.75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customFormat="false" ht="15.75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customFormat="false" ht="15.75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customFormat="false" ht="15.75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customFormat="false" ht="15.75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customFormat="false" ht="15.75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customFormat="false" ht="15.75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customFormat="false" ht="15.75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customFormat="false" ht="15.75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customFormat="false" ht="15.75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customFormat="false" ht="15.75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customFormat="false" ht="15.75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customFormat="false" ht="15.75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customFormat="false" ht="15.75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customFormat="false" ht="15.75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customFormat="false" ht="15.75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customFormat="false" ht="15.75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customFormat="false" ht="15.75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customFormat="false" ht="15.75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customFormat="false" ht="15.75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customFormat="false" ht="15.75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customFormat="false" ht="15.75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customFormat="false" ht="15.75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customFormat="false" ht="15.75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customFormat="false" ht="15.75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customFormat="false" ht="15.75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customFormat="false" ht="15.75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customFormat="false" ht="15.75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customFormat="false" ht="15.75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customFormat="false" ht="15.75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customFormat="false" ht="15.75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customFormat="false" ht="15.75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customFormat="false" ht="15.75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customFormat="false" ht="15.75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customFormat="false" ht="15.75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customFormat="false" ht="15.75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customFormat="false" ht="15.75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customFormat="false" ht="15.75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customFormat="false" ht="15.75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customFormat="false" ht="15.75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customFormat="false" ht="15.75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customFormat="false" ht="15.75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customFormat="false" ht="15.75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customFormat="false" ht="15.75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customFormat="false" ht="15.75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customFormat="false" ht="15.75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customFormat="false" ht="15.75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customFormat="false" ht="15.75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customFormat="false" ht="15.75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customFormat="false" ht="15.75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customFormat="false" ht="15.75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customFormat="false" ht="15.75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customFormat="false" ht="15.75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customFormat="false" ht="15.75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customFormat="false" ht="15.75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customFormat="false" ht="15.75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customFormat="false" ht="15.75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customFormat="false" ht="15.75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customFormat="false" ht="15.75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customFormat="false" ht="15.75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customFormat="false" ht="15.75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customFormat="false" ht="15.75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customFormat="false" ht="15.75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customFormat="false" ht="15.75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customFormat="false" ht="15.75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customFormat="false" ht="15.75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customFormat="false" ht="15.75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customFormat="false" ht="15.75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customFormat="false" ht="15.75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customFormat="false" ht="15.75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customFormat="false" ht="15.75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customFormat="false" ht="15.75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customFormat="false" ht="15.75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customFormat="false" ht="15.75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customFormat="false" ht="15.75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customFormat="false" ht="15.75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customFormat="false" ht="15.75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customFormat="false" ht="15.75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customFormat="false" ht="15.75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customFormat="false" ht="15.75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customFormat="false" ht="15.75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customFormat="false" ht="15.75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customFormat="false" ht="15.75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customFormat="false" ht="15.75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customFormat="false" ht="15.75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customFormat="false" ht="15.75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customFormat="false" ht="15.75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customFormat="false" ht="15.75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customFormat="false" ht="15.75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customFormat="false" ht="15.75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customFormat="false" ht="15.75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customFormat="false" ht="15.75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customFormat="false" ht="15.75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customFormat="false" ht="15.75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customFormat="false" ht="15.75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customFormat="false" ht="15.75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customFormat="false" ht="15.75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customFormat="false" ht="15.75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customFormat="false" ht="15.75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customFormat="false" ht="15.75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customFormat="false" ht="15.75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customFormat="false" ht="15.75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customFormat="false" ht="15.75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customFormat="false" ht="15.75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customFormat="false" ht="15.75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customFormat="false" ht="15.75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customFormat="false" ht="15.75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customFormat="false" ht="15.75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customFormat="false" ht="15.75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customFormat="false" ht="15.75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customFormat="false" ht="15.75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customFormat="false" ht="15.75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customFormat="false" ht="15.75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customFormat="false" ht="15.75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customFormat="false" ht="15.75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customFormat="false" ht="15.75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customFormat="false" ht="15.75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customFormat="false" ht="15.75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customFormat="false" ht="15.75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customFormat="false" ht="15.75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customFormat="false" ht="15.75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customFormat="false" ht="15.75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customFormat="false" ht="15.75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customFormat="false" ht="15.75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customFormat="false" ht="15.75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customFormat="false" ht="15.75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customFormat="false" ht="15.75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customFormat="false" ht="15.75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customFormat="false" ht="15.75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customFormat="false" ht="15.75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customFormat="false" ht="15.75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customFormat="false" ht="15.75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customFormat="false" ht="15.75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customFormat="false" ht="15.75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customFormat="false" ht="15.75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customFormat="false" ht="15.75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customFormat="false" ht="15.75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customFormat="false" ht="15.75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customFormat="false" ht="15.75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customFormat="false" ht="15.75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customFormat="false" ht="15.75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customFormat="false" ht="15.75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customFormat="false" ht="15.75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customFormat="false" ht="15.75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customFormat="false" ht="15.75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customFormat="false" ht="15.75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customFormat="false" ht="15.75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customFormat="false" ht="15.75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customFormat="false" ht="15.75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customFormat="false" ht="15.75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customFormat="false" ht="15.75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customFormat="false" ht="15.75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customFormat="false" ht="15.75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customFormat="false" ht="15.75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customFormat="false" ht="15.75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customFormat="false" ht="15.75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customFormat="false" ht="15.75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customFormat="false" ht="15.75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customFormat="false" ht="15.75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customFormat="false" ht="15.75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customFormat="false" ht="15.75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customFormat="false" ht="15.75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customFormat="false" ht="15.75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customFormat="false" ht="15.75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customFormat="false" ht="15.75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customFormat="false" ht="15.75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customFormat="false" ht="15.75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customFormat="false" ht="15.75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customFormat="false" ht="15.75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customFormat="false" ht="15.75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customFormat="false" ht="15.75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customFormat="false" ht="15.75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customFormat="false" ht="15.75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customFormat="false" ht="15.75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customFormat="false" ht="15.75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customFormat="false" ht="15.75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customFormat="false" ht="15.75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customFormat="false" ht="15.75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customFormat="false" ht="15.75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customFormat="false" ht="15.75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customFormat="false" ht="15.75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customFormat="false" ht="15.75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customFormat="false" ht="15.75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customFormat="false" ht="15.75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customFormat="false" ht="15.75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customFormat="false" ht="15.75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customFormat="false" ht="15.75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customFormat="false" ht="15.75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customFormat="false" ht="15.75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customFormat="false" ht="15.75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customFormat="false" ht="15.75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customFormat="false" ht="15.75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customFormat="false" ht="15.75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customFormat="false" ht="15.75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customFormat="false" ht="15.75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customFormat="false" ht="15.75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customFormat="false" ht="15.75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customFormat="false" ht="15.75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customFormat="false" ht="15.75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customFormat="false" ht="15.75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customFormat="false" ht="15.75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customFormat="false" ht="15.75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customFormat="false" ht="15.75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customFormat="false" ht="15.75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customFormat="false" ht="15.75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customFormat="false" ht="15.75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customFormat="false" ht="15.75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customFormat="false" ht="15.75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customFormat="false" ht="15.75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customFormat="false" ht="15.75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customFormat="false" ht="15.75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customFormat="false" ht="15.75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customFormat="false" ht="15.75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customFormat="false" ht="15.75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customFormat="false" ht="15.75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customFormat="false" ht="15.75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customFormat="false" ht="15.75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customFormat="false" ht="15.75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customFormat="false" ht="15.75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customFormat="false" ht="15.75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customFormat="false" ht="15.75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customFormat="false" ht="15.75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customFormat="false" ht="15.75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customFormat="false" ht="15.75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customFormat="false" ht="15.75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customFormat="false" ht="15.75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customFormat="false" ht="15.75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customFormat="false" ht="15.75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customFormat="false" ht="15.75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customFormat="false" ht="15.75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customFormat="false" ht="15.75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customFormat="false" ht="15.75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customFormat="false" ht="15.75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customFormat="false" ht="15.75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customFormat="false" ht="15.75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customFormat="false" ht="15.75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customFormat="false" ht="15.75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customFormat="false" ht="15.75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customFormat="false" ht="15.75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customFormat="false" ht="15.75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customFormat="false" ht="15.75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customFormat="false" ht="15.75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customFormat="false" ht="15.75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customFormat="false" ht="15.75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customFormat="false" ht="15.75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customFormat="false" ht="15.75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customFormat="false" ht="15.75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customFormat="false" ht="15.75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customFormat="false" ht="15.75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customFormat="false" ht="15.75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customFormat="false" ht="15.75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customFormat="false" ht="15.75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customFormat="false" ht="15.75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customFormat="false" ht="15.75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customFormat="false" ht="15.75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customFormat="false" ht="15.75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customFormat="false" ht="15.75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customFormat="false" ht="15.75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customFormat="false" ht="15.75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customFormat="false" ht="15.75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customFormat="false" ht="15.75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customFormat="false" ht="15.75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customFormat="false" ht="15.75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customFormat="false" ht="15.75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customFormat="false" ht="15.75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customFormat="false" ht="15.75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customFormat="false" ht="15.75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customFormat="false" ht="15.75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customFormat="false" ht="15.75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customFormat="false" ht="15.75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customFormat="false" ht="15.75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customFormat="false" ht="15.75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customFormat="false" ht="15.75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customFormat="false" ht="15.75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customFormat="false" ht="15.75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customFormat="false" ht="15.75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customFormat="false" ht="15.75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customFormat="false" ht="15.75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customFormat="false" ht="15.75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customFormat="false" ht="15.75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customFormat="false" ht="15.75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customFormat="false" ht="15.75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customFormat="false" ht="15.75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5" min="5" style="0" width="11.43"/>
    <col collapsed="false" customWidth="true" hidden="false" outlineLevel="0" max="14" min="6" style="0" width="5.14"/>
    <col collapsed="false" customWidth="true" hidden="false" outlineLevel="0" max="28" min="19" style="0" width="5.14"/>
  </cols>
  <sheetData>
    <row r="1" customFormat="false" ht="15.75" hidden="false" customHeight="false" outlineLevel="0" collapsed="false">
      <c r="A1" s="3" t="s">
        <v>30</v>
      </c>
      <c r="B1" s="3"/>
      <c r="C1" s="3"/>
      <c r="E1" s="15" t="n">
        <v>42922</v>
      </c>
      <c r="F1" s="15"/>
      <c r="G1" s="15" t="n">
        <v>42923</v>
      </c>
      <c r="H1" s="15"/>
      <c r="I1" s="15" t="n">
        <v>42924</v>
      </c>
      <c r="J1" s="15"/>
      <c r="K1" s="15" t="n">
        <v>42926</v>
      </c>
      <c r="L1" s="15"/>
      <c r="M1" s="15" t="n">
        <v>42927</v>
      </c>
      <c r="N1" s="15"/>
      <c r="P1" s="49" t="str">
        <f aca="false">A1</f>
        <v>Программирование(Шульга)</v>
      </c>
      <c r="S1" s="15" t="n">
        <v>42929</v>
      </c>
      <c r="T1" s="15"/>
      <c r="U1" s="15" t="n">
        <v>42930</v>
      </c>
      <c r="V1" s="15"/>
      <c r="W1" s="15" t="n">
        <v>42932</v>
      </c>
      <c r="X1" s="15"/>
      <c r="Y1" s="15" t="n">
        <v>42933</v>
      </c>
      <c r="Z1" s="15"/>
      <c r="AA1" s="15" t="n">
        <v>42934</v>
      </c>
      <c r="AB1" s="15"/>
    </row>
    <row r="2" customFormat="false" ht="15.75" hidden="false" customHeight="false" outlineLevel="0" collapsed="false">
      <c r="B2" s="0" t="s">
        <v>4</v>
      </c>
      <c r="C2" s="0" t="s">
        <v>5</v>
      </c>
      <c r="D2" s="0" t="s">
        <v>6</v>
      </c>
      <c r="E2" s="4" t="n">
        <v>1</v>
      </c>
      <c r="F2" s="4" t="n">
        <v>2</v>
      </c>
      <c r="G2" s="4" t="n">
        <v>1</v>
      </c>
      <c r="H2" s="4" t="n">
        <v>2</v>
      </c>
      <c r="I2" s="4" t="n">
        <v>1</v>
      </c>
      <c r="J2" s="4" t="n">
        <v>2</v>
      </c>
      <c r="K2" s="4" t="n">
        <v>1</v>
      </c>
      <c r="L2" s="4" t="n">
        <v>2</v>
      </c>
      <c r="M2" s="4" t="n">
        <v>1</v>
      </c>
      <c r="N2" s="4" t="n">
        <v>2</v>
      </c>
      <c r="P2" s="0" t="s">
        <v>4</v>
      </c>
      <c r="Q2" s="0" t="s">
        <v>5</v>
      </c>
      <c r="R2" s="0" t="s">
        <v>6</v>
      </c>
      <c r="S2" s="4" t="n">
        <v>1</v>
      </c>
      <c r="T2" s="4" t="n">
        <v>2</v>
      </c>
      <c r="U2" s="4" t="n">
        <v>1</v>
      </c>
      <c r="V2" s="4" t="n">
        <v>2</v>
      </c>
      <c r="W2" s="4" t="n">
        <v>1</v>
      </c>
      <c r="X2" s="4" t="n">
        <v>2</v>
      </c>
      <c r="Y2" s="4" t="n">
        <v>1</v>
      </c>
      <c r="Z2" s="4" t="n">
        <v>2</v>
      </c>
      <c r="AA2" s="4" t="n">
        <v>1</v>
      </c>
      <c r="AB2" s="4" t="n">
        <v>2</v>
      </c>
    </row>
    <row r="3" customFormat="false" ht="15.75" hidden="false" customHeight="false" outlineLevel="0" collapsed="false">
      <c r="A3" s="5" t="n">
        <f aca="false">IF(NOT(ISBLANK(B3)), ROW()-2,"")</f>
        <v>1</v>
      </c>
      <c r="B3" s="0" t="str">
        <f aca="false">IFERROR(__xludf.dummyfunction("FILTER('Переформатированный ответ'!$B$2:$D$184,ARRAYFORMULA((('Переформатированный ответ'!$I$2:$I$184 = A1)+('Переформатированный ответ'!$K$2:$K$184 &gt;-1)) = 2))"),"Сычов")</f>
        <v>Сычов</v>
      </c>
      <c r="C3" s="0" t="str">
        <f aca="false">IFERROR(__xludf.dummyfunction("""COMPUTED_VALUE"""),"Семён")</f>
        <v>Семён</v>
      </c>
      <c r="D3" s="0" t="n">
        <f aca="false">IFERROR(__xludf.dummyfunction("""COMPUTED_VALUE"""),9)</f>
        <v>9</v>
      </c>
      <c r="E3" s="49" t="str">
        <f aca="false">IFERROR(__xludf.dummyfunction("FILTER('Переформатированный ответ'!$Q$2:$Z$184,ARRAYFORMULA((('Переформатированный ответ'!$I$2:$I$184 = A1)+('Переформатированный ответ'!$K$2:$K$184 &gt;-1)) = 2))"),"+")</f>
        <v>+</v>
      </c>
      <c r="F3" s="2" t="str">
        <f aca="false">IFERROR(__xludf.dummyfunction("""COMPUTED_VALUE"""),"+")</f>
        <v>+</v>
      </c>
      <c r="G3" s="49" t="str">
        <f aca="false">IFERROR(__xludf.dummyfunction("""COMPUTED_VALUE"""),"+")</f>
        <v>+</v>
      </c>
      <c r="H3" s="49" t="str">
        <f aca="false">IFERROR(__xludf.dummyfunction("""COMPUTED_VALUE"""),"+")</f>
        <v>+</v>
      </c>
      <c r="I3" s="49" t="str">
        <f aca="false">IFERROR(__xludf.dummyfunction("""COMPUTED_VALUE"""),"+")</f>
        <v>+</v>
      </c>
      <c r="J3" s="49" t="str">
        <f aca="false">IFERROR(__xludf.dummyfunction("""COMPUTED_VALUE"""),"+")</f>
        <v>+</v>
      </c>
      <c r="K3" s="49" t="str">
        <f aca="false">IFERROR(__xludf.dummyfunction("""COMPUTED_VALUE"""),"+")</f>
        <v>+</v>
      </c>
      <c r="L3" s="49" t="str">
        <f aca="false">IFERROR(__xludf.dummyfunction("""COMPUTED_VALUE"""),"+")</f>
        <v>+</v>
      </c>
      <c r="M3" s="49" t="str">
        <f aca="false">IFERROR(__xludf.dummyfunction("""COMPUTED_VALUE"""),"+")</f>
        <v>+</v>
      </c>
      <c r="N3" s="49" t="str">
        <f aca="false">IFERROR(__xludf.dummyfunction("""COMPUTED_VALUE"""),"+")</f>
        <v>+</v>
      </c>
      <c r="O3" s="5" t="n">
        <f aca="false">IF(NOT(ISBLANK(P3)), ROW()-2,"")</f>
        <v>1</v>
      </c>
      <c r="P3" s="0" t="str">
        <f aca="false">IFERROR(__xludf.dummyfunction("FILTER('Переформатированный ответ'!$B$2:$D$184,ARRAYFORMULA((('Переформатированный ответ'!$J$2:$J$184 = A1)+('Переформатированный ответ'!$K$2:$K$184 &gt;-1)) = 2))"),"Затолоцкая ")</f>
        <v>Затолоцкая</v>
      </c>
      <c r="Q3" s="0" t="str">
        <f aca="false">IFERROR(__xludf.dummyfunction("""COMPUTED_VALUE"""),"Юлия")</f>
        <v>Юлия</v>
      </c>
      <c r="R3" s="0" t="n">
        <f aca="false">IFERROR(__xludf.dummyfunction("""COMPUTED_VALUE"""),10)</f>
        <v>10</v>
      </c>
      <c r="S3" s="49" t="str">
        <f aca="false">IFERROR(__xludf.dummyfunction("FILTER('Переформатированный ответ'!$AA$2:$AJ$184,ARRAYFORMULA((('Переформатированный ответ'!$J$2:$J$184 = A1)+('Переформатированный ответ'!$K$2:$K$184 &gt;-1)) = 2))"),"+")</f>
        <v>+</v>
      </c>
      <c r="T3" s="49" t="str">
        <f aca="false">IFERROR(__xludf.dummyfunction("""COMPUTED_VALUE"""),"+")</f>
        <v>+</v>
      </c>
      <c r="U3" s="49" t="str">
        <f aca="false">IFERROR(__xludf.dummyfunction("""COMPUTED_VALUE"""),"+")</f>
        <v>+</v>
      </c>
      <c r="V3" s="49" t="str">
        <f aca="false">IFERROR(__xludf.dummyfunction("""COMPUTED_VALUE"""),"+")</f>
        <v>+</v>
      </c>
      <c r="W3" s="49" t="str">
        <f aca="false">IFERROR(__xludf.dummyfunction("""COMPUTED_VALUE"""),"+")</f>
        <v>+</v>
      </c>
      <c r="X3" s="49" t="str">
        <f aca="false">IFERROR(__xludf.dummyfunction("""COMPUTED_VALUE"""),"+")</f>
        <v>+</v>
      </c>
      <c r="Y3" s="49" t="str">
        <f aca="false">IFERROR(__xludf.dummyfunction("""COMPUTED_VALUE"""),"+")</f>
        <v>+</v>
      </c>
      <c r="Z3" s="49" t="str">
        <f aca="false">IFERROR(__xludf.dummyfunction("""COMPUTED_VALUE"""),"+")</f>
        <v>+</v>
      </c>
      <c r="AA3" s="49" t="str">
        <f aca="false">IFERROR(__xludf.dummyfunction("""COMPUTED_VALUE"""),"+")</f>
        <v>+</v>
      </c>
      <c r="AB3" s="49" t="str">
        <f aca="false">IFERROR(__xludf.dummyfunction("""COMPUTED_VALUE"""),"+")</f>
        <v>+</v>
      </c>
    </row>
    <row r="4" customFormat="false" ht="15.75" hidden="false" customHeight="false" outlineLevel="0" collapsed="false">
      <c r="A4" s="5" t="n">
        <f aca="false">IF(NOT(ISBLANK(B4)), ROW()-2,"")</f>
        <v>2</v>
      </c>
      <c r="B4" s="0" t="str">
        <f aca="false">IFERROR(__xludf.dummyfunction("""COMPUTED_VALUE"""),"Храмов")</f>
        <v>Храмов</v>
      </c>
      <c r="C4" s="0" t="str">
        <f aca="false">IFERROR(__xludf.dummyfunction("""COMPUTED_VALUE"""),"Андрей")</f>
        <v>Андрей</v>
      </c>
      <c r="D4" s="0" t="n">
        <f aca="false">IFERROR(__xludf.dummyfunction("""COMPUTED_VALUE"""),8)</f>
        <v>8</v>
      </c>
      <c r="E4" s="49" t="str">
        <f aca="false">IFERROR(__xludf.dummyfunction("""COMPUTED_VALUE"""),"-")</f>
        <v>-</v>
      </c>
      <c r="F4" s="49" t="str">
        <f aca="false">IFERROR(__xludf.dummyfunction("""COMPUTED_VALUE"""),"-")</f>
        <v>-</v>
      </c>
      <c r="G4" s="49" t="str">
        <f aca="false">IFERROR(__xludf.dummyfunction("""COMPUTED_VALUE"""),"-")</f>
        <v>-</v>
      </c>
      <c r="H4" s="49" t="str">
        <f aca="false">IFERROR(__xludf.dummyfunction("""COMPUTED_VALUE"""),"-")</f>
        <v>-</v>
      </c>
      <c r="I4" s="49" t="str">
        <f aca="false">IFERROR(__xludf.dummyfunction("""COMPUTED_VALUE"""),"-")</f>
        <v>-</v>
      </c>
      <c r="J4" s="49" t="str">
        <f aca="false">IFERROR(__xludf.dummyfunction("""COMPUTED_VALUE"""),"-")</f>
        <v>-</v>
      </c>
      <c r="K4" s="49" t="str">
        <f aca="false">IFERROR(__xludf.dummyfunction("""COMPUTED_VALUE"""),"-")</f>
        <v>-</v>
      </c>
      <c r="L4" s="49" t="str">
        <f aca="false">IFERROR(__xludf.dummyfunction("""COMPUTED_VALUE"""),"-")</f>
        <v>-</v>
      </c>
      <c r="M4" s="49" t="str">
        <f aca="false">IFERROR(__xludf.dummyfunction("""COMPUTED_VALUE"""),"-")</f>
        <v>-</v>
      </c>
      <c r="N4" s="49" t="str">
        <f aca="false">IFERROR(__xludf.dummyfunction("""COMPUTED_VALUE"""),"-")</f>
        <v>-</v>
      </c>
      <c r="O4" s="5" t="n">
        <f aca="false">IF(NOT(ISBLANK(P4)), ROW()-2,"")</f>
        <v>2</v>
      </c>
      <c r="P4" s="0" t="str">
        <f aca="false">IFERROR(__xludf.dummyfunction("""COMPUTED_VALUE"""),"Цындуков")</f>
        <v>Цындуков</v>
      </c>
      <c r="Q4" s="0" t="str">
        <f aca="false">IFERROR(__xludf.dummyfunction("""COMPUTED_VALUE"""),"Сергей")</f>
        <v>Сергей</v>
      </c>
      <c r="R4" s="0" t="n">
        <f aca="false">IFERROR(__xludf.dummyfunction("""COMPUTED_VALUE"""),10)</f>
        <v>10</v>
      </c>
      <c r="S4" s="49" t="str">
        <f aca="false">IFERROR(__xludf.dummyfunction("""COMPUTED_VALUE"""),"-")</f>
        <v>-</v>
      </c>
      <c r="T4" s="49" t="str">
        <f aca="false">IFERROR(__xludf.dummyfunction("""COMPUTED_VALUE"""),"-")</f>
        <v>-</v>
      </c>
      <c r="U4" s="49" t="str">
        <f aca="false">IFERROR(__xludf.dummyfunction("""COMPUTED_VALUE"""),"-")</f>
        <v>-</v>
      </c>
      <c r="V4" s="49" t="str">
        <f aca="false">IFERROR(__xludf.dummyfunction("""COMPUTED_VALUE"""),"-")</f>
        <v>-</v>
      </c>
      <c r="W4" s="49" t="str">
        <f aca="false">IFERROR(__xludf.dummyfunction("""COMPUTED_VALUE"""),"-")</f>
        <v>-</v>
      </c>
      <c r="X4" s="49" t="str">
        <f aca="false">IFERROR(__xludf.dummyfunction("""COMPUTED_VALUE"""),"-")</f>
        <v>-</v>
      </c>
      <c r="Y4" s="49" t="str">
        <f aca="false">IFERROR(__xludf.dummyfunction("""COMPUTED_VALUE"""),"-")</f>
        <v>-</v>
      </c>
      <c r="Z4" s="49" t="str">
        <f aca="false">IFERROR(__xludf.dummyfunction("""COMPUTED_VALUE"""),"-")</f>
        <v>-</v>
      </c>
      <c r="AA4" s="49" t="str">
        <f aca="false">IFERROR(__xludf.dummyfunction("""COMPUTED_VALUE"""),"-")</f>
        <v>-</v>
      </c>
      <c r="AB4" s="49" t="str">
        <f aca="false">IFERROR(__xludf.dummyfunction("""COMPUTED_VALUE"""),"-")</f>
        <v>-</v>
      </c>
    </row>
    <row r="5" customFormat="false" ht="15.75" hidden="false" customHeight="false" outlineLevel="0" collapsed="false">
      <c r="A5" s="5" t="n">
        <f aca="false">IF(NOT(ISBLANK(B5)), ROW()-2,"")</f>
        <v>3</v>
      </c>
      <c r="B5" s="0" t="str">
        <f aca="false">IFERROR(__xludf.dummyfunction("""COMPUTED_VALUE"""),"Лапшин")</f>
        <v>Лапшин</v>
      </c>
      <c r="C5" s="0" t="str">
        <f aca="false">IFERROR(__xludf.dummyfunction("""COMPUTED_VALUE"""),"Георгий")</f>
        <v>Георгий</v>
      </c>
      <c r="D5" s="0" t="n">
        <f aca="false">IFERROR(__xludf.dummyfunction("""COMPUTED_VALUE"""),9)</f>
        <v>9</v>
      </c>
      <c r="E5" s="49" t="str">
        <f aca="false">IFERROR(__xludf.dummyfunction("""COMPUTED_VALUE"""),"+")</f>
        <v>+</v>
      </c>
      <c r="F5" s="2" t="str">
        <f aca="false">IFERROR(__xludf.dummyfunction("""COMPUTED_VALUE"""),"+")</f>
        <v>+</v>
      </c>
      <c r="G5" s="49" t="str">
        <f aca="false">IFERROR(__xludf.dummyfunction("""COMPUTED_VALUE"""),"+")</f>
        <v>+</v>
      </c>
      <c r="H5" s="49" t="str">
        <f aca="false">IFERROR(__xludf.dummyfunction("""COMPUTED_VALUE"""),"+")</f>
        <v>+</v>
      </c>
      <c r="I5" s="49" t="str">
        <f aca="false">IFERROR(__xludf.dummyfunction("""COMPUTED_VALUE"""),"+")</f>
        <v>+</v>
      </c>
      <c r="J5" s="49" t="str">
        <f aca="false">IFERROR(__xludf.dummyfunction("""COMPUTED_VALUE"""),"+")</f>
        <v>+</v>
      </c>
      <c r="K5" s="49" t="str">
        <f aca="false">IFERROR(__xludf.dummyfunction("""COMPUTED_VALUE"""),"+")</f>
        <v>+</v>
      </c>
      <c r="L5" s="49" t="str">
        <f aca="false">IFERROR(__xludf.dummyfunction("""COMPUTED_VALUE"""),"+")</f>
        <v>+</v>
      </c>
      <c r="M5" s="49" t="str">
        <f aca="false">IFERROR(__xludf.dummyfunction("""COMPUTED_VALUE"""),"+")</f>
        <v>+</v>
      </c>
      <c r="N5" s="49" t="str">
        <f aca="false">IFERROR(__xludf.dummyfunction("""COMPUTED_VALUE"""),"+")</f>
        <v>+</v>
      </c>
      <c r="O5" s="5" t="n">
        <f aca="false">IF(NOT(ISBLANK(P5)), ROW()-2,"")</f>
        <v>3</v>
      </c>
      <c r="P5" s="0" t="str">
        <f aca="false">IFERROR(__xludf.dummyfunction("""COMPUTED_VALUE"""),"Задорожная")</f>
        <v>Задорожная</v>
      </c>
      <c r="Q5" s="0" t="str">
        <f aca="false">IFERROR(__xludf.dummyfunction("""COMPUTED_VALUE"""),"Виолетта")</f>
        <v>Виолетта</v>
      </c>
      <c r="R5" s="0" t="n">
        <f aca="false">IFERROR(__xludf.dummyfunction("""COMPUTED_VALUE"""),9)</f>
        <v>9</v>
      </c>
      <c r="S5" s="49" t="str">
        <f aca="false">IFERROR(__xludf.dummyfunction("""COMPUTED_VALUE"""),"+")</f>
        <v>+</v>
      </c>
      <c r="T5" s="49" t="str">
        <f aca="false">IFERROR(__xludf.dummyfunction("""COMPUTED_VALUE"""),"+")</f>
        <v>+</v>
      </c>
      <c r="U5" s="49" t="str">
        <f aca="false">IFERROR(__xludf.dummyfunction("""COMPUTED_VALUE"""),"+")</f>
        <v>+</v>
      </c>
      <c r="V5" s="49" t="str">
        <f aca="false">IFERROR(__xludf.dummyfunction("""COMPUTED_VALUE"""),"+")</f>
        <v>+</v>
      </c>
      <c r="W5" s="49" t="str">
        <f aca="false">IFERROR(__xludf.dummyfunction("""COMPUTED_VALUE"""),"+")</f>
        <v>+</v>
      </c>
      <c r="X5" s="49" t="str">
        <f aca="false">IFERROR(__xludf.dummyfunction("""COMPUTED_VALUE"""),"+")</f>
        <v>+</v>
      </c>
      <c r="Y5" s="49" t="str">
        <f aca="false">IFERROR(__xludf.dummyfunction("""COMPUTED_VALUE"""),"+")</f>
        <v>+</v>
      </c>
      <c r="Z5" s="49" t="str">
        <f aca="false">IFERROR(__xludf.dummyfunction("""COMPUTED_VALUE"""),"+")</f>
        <v>+</v>
      </c>
      <c r="AA5" s="49" t="str">
        <f aca="false">IFERROR(__xludf.dummyfunction("""COMPUTED_VALUE"""),"+")</f>
        <v>+</v>
      </c>
      <c r="AB5" s="49" t="str">
        <f aca="false">IFERROR(__xludf.dummyfunction("""COMPUTED_VALUE"""),"+")</f>
        <v>+</v>
      </c>
    </row>
    <row r="6" customFormat="false" ht="15.75" hidden="false" customHeight="false" outlineLevel="0" collapsed="false">
      <c r="A6" s="5" t="n">
        <f aca="false">IF(NOT(ISBLANK(B6)), ROW()-2,"")</f>
        <v>4</v>
      </c>
      <c r="B6" s="0" t="str">
        <f aca="false">IFERROR(__xludf.dummyfunction("""COMPUTED_VALUE"""),"Коломеец")</f>
        <v>Коломеец</v>
      </c>
      <c r="C6" s="0" t="str">
        <f aca="false">IFERROR(__xludf.dummyfunction("""COMPUTED_VALUE"""),"Анна")</f>
        <v>Анна</v>
      </c>
      <c r="D6" s="0" t="n">
        <f aca="false">IFERROR(__xludf.dummyfunction("""COMPUTED_VALUE"""),10)</f>
        <v>10</v>
      </c>
      <c r="E6" s="49" t="str">
        <f aca="false">IFERROR(__xludf.dummyfunction("""COMPUTED_VALUE"""),"-")</f>
        <v>-</v>
      </c>
      <c r="F6" s="49" t="str">
        <f aca="false">IFERROR(__xludf.dummyfunction("""COMPUTED_VALUE"""),"-")</f>
        <v>-</v>
      </c>
      <c r="G6" s="49" t="str">
        <f aca="false">IFERROR(__xludf.dummyfunction("""COMPUTED_VALUE"""),"-")</f>
        <v>-</v>
      </c>
      <c r="H6" s="49" t="str">
        <f aca="false">IFERROR(__xludf.dummyfunction("""COMPUTED_VALUE"""),"-")</f>
        <v>-</v>
      </c>
      <c r="I6" s="49" t="str">
        <f aca="false">IFERROR(__xludf.dummyfunction("""COMPUTED_VALUE"""),"-")</f>
        <v>-</v>
      </c>
      <c r="J6" s="49" t="str">
        <f aca="false">IFERROR(__xludf.dummyfunction("""COMPUTED_VALUE"""),"-")</f>
        <v>-</v>
      </c>
      <c r="K6" s="49" t="str">
        <f aca="false">IFERROR(__xludf.dummyfunction("""COMPUTED_VALUE"""),"-")</f>
        <v>-</v>
      </c>
      <c r="L6" s="49" t="str">
        <f aca="false">IFERROR(__xludf.dummyfunction("""COMPUTED_VALUE"""),"-")</f>
        <v>-</v>
      </c>
      <c r="M6" s="49" t="str">
        <f aca="false">IFERROR(__xludf.dummyfunction("""COMPUTED_VALUE"""),"-")</f>
        <v>-</v>
      </c>
      <c r="N6" s="49" t="str">
        <f aca="false">IFERROR(__xludf.dummyfunction("""COMPUTED_VALUE"""),"-")</f>
        <v>-</v>
      </c>
      <c r="O6" s="5" t="n">
        <f aca="false">IF(NOT(ISBLANK(P6)), ROW()-2,"")</f>
        <v>4</v>
      </c>
      <c r="P6" s="0" t="str">
        <f aca="false">IFERROR(__xludf.dummyfunction("""COMPUTED_VALUE"""),"Сташевская")</f>
        <v>Сташевская</v>
      </c>
      <c r="Q6" s="0" t="str">
        <f aca="false">IFERROR(__xludf.dummyfunction("""COMPUTED_VALUE"""),"Анита")</f>
        <v>Анита</v>
      </c>
      <c r="R6" s="0" t="n">
        <f aca="false">IFERROR(__xludf.dummyfunction("""COMPUTED_VALUE"""),9)</f>
        <v>9</v>
      </c>
      <c r="S6" s="49" t="str">
        <f aca="false">IFERROR(__xludf.dummyfunction("""COMPUTED_VALUE"""),"-")</f>
        <v>-</v>
      </c>
      <c r="T6" s="49" t="str">
        <f aca="false">IFERROR(__xludf.dummyfunction("""COMPUTED_VALUE"""),"-")</f>
        <v>-</v>
      </c>
      <c r="U6" s="49" t="str">
        <f aca="false">IFERROR(__xludf.dummyfunction("""COMPUTED_VALUE"""),"-")</f>
        <v>-</v>
      </c>
      <c r="V6" s="49" t="str">
        <f aca="false">IFERROR(__xludf.dummyfunction("""COMPUTED_VALUE"""),"-")</f>
        <v>-</v>
      </c>
      <c r="W6" s="49" t="str">
        <f aca="false">IFERROR(__xludf.dummyfunction("""COMPUTED_VALUE"""),"-")</f>
        <v>-</v>
      </c>
      <c r="X6" s="49" t="str">
        <f aca="false">IFERROR(__xludf.dummyfunction("""COMPUTED_VALUE"""),"-")</f>
        <v>-</v>
      </c>
      <c r="Y6" s="49" t="str">
        <f aca="false">IFERROR(__xludf.dummyfunction("""COMPUTED_VALUE"""),"-")</f>
        <v>-</v>
      </c>
      <c r="Z6" s="49" t="str">
        <f aca="false">IFERROR(__xludf.dummyfunction("""COMPUTED_VALUE"""),"-")</f>
        <v>-</v>
      </c>
      <c r="AA6" s="49" t="str">
        <f aca="false">IFERROR(__xludf.dummyfunction("""COMPUTED_VALUE"""),"-")</f>
        <v>-</v>
      </c>
      <c r="AB6" s="49" t="str">
        <f aca="false">IFERROR(__xludf.dummyfunction("""COMPUTED_VALUE"""),"-")</f>
        <v>-</v>
      </c>
    </row>
    <row r="7" customFormat="false" ht="15.75" hidden="false" customHeight="false" outlineLevel="0" collapsed="false">
      <c r="A7" s="5" t="n">
        <f aca="false">IF(NOT(ISBLANK(B7)), ROW()-2,"")</f>
        <v>5</v>
      </c>
      <c r="B7" s="0" t="str">
        <f aca="false">IFERROR(__xludf.dummyfunction("""COMPUTED_VALUE"""),"Киселев")</f>
        <v>Киселев</v>
      </c>
      <c r="C7" s="0" t="str">
        <f aca="false">IFERROR(__xludf.dummyfunction("""COMPUTED_VALUE"""),"Кирилл")</f>
        <v>Кирилл</v>
      </c>
      <c r="D7" s="0" t="n">
        <f aca="false">IFERROR(__xludf.dummyfunction("""COMPUTED_VALUE"""),8)</f>
        <v>8</v>
      </c>
      <c r="E7" s="49" t="str">
        <f aca="false">IFERROR(__xludf.dummyfunction("""COMPUTED_VALUE"""),"+")</f>
        <v>+</v>
      </c>
      <c r="F7" s="49" t="str">
        <f aca="false">IFERROR(__xludf.dummyfunction("""COMPUTED_VALUE"""),"+")</f>
        <v>+</v>
      </c>
      <c r="G7" s="49" t="str">
        <f aca="false">IFERROR(__xludf.dummyfunction("""COMPUTED_VALUE"""),"+")</f>
        <v>+</v>
      </c>
      <c r="H7" s="49" t="str">
        <f aca="false">IFERROR(__xludf.dummyfunction("""COMPUTED_VALUE"""),"+")</f>
        <v>+</v>
      </c>
      <c r="I7" s="49" t="str">
        <f aca="false">IFERROR(__xludf.dummyfunction("""COMPUTED_VALUE"""),"+")</f>
        <v>+</v>
      </c>
      <c r="J7" s="49" t="str">
        <f aca="false">IFERROR(__xludf.dummyfunction("""COMPUTED_VALUE"""),"+")</f>
        <v>+</v>
      </c>
      <c r="K7" s="49" t="str">
        <f aca="false">IFERROR(__xludf.dummyfunction("""COMPUTED_VALUE"""),"+")</f>
        <v>+</v>
      </c>
      <c r="L7" s="49" t="str">
        <f aca="false">IFERROR(__xludf.dummyfunction("""COMPUTED_VALUE"""),"+")</f>
        <v>+</v>
      </c>
      <c r="M7" s="49" t="str">
        <f aca="false">IFERROR(__xludf.dummyfunction("""COMPUTED_VALUE"""),"+")</f>
        <v>+</v>
      </c>
      <c r="N7" s="49" t="str">
        <f aca="false">IFERROR(__xludf.dummyfunction("""COMPUTED_VALUE"""),"+")</f>
        <v>+</v>
      </c>
      <c r="O7" s="5" t="n">
        <f aca="false">IF(NOT(ISBLANK(P7)), ROW()-2,"")</f>
        <v>5</v>
      </c>
      <c r="P7" s="0" t="str">
        <f aca="false">IFERROR(__xludf.dummyfunction("""COMPUTED_VALUE"""),"Кельцев")</f>
        <v>Кельцев</v>
      </c>
      <c r="Q7" s="0" t="str">
        <f aca="false">IFERROR(__xludf.dummyfunction("""COMPUTED_VALUE"""),"Павел")</f>
        <v>Павел</v>
      </c>
      <c r="R7" s="0" t="n">
        <f aca="false">IFERROR(__xludf.dummyfunction("""COMPUTED_VALUE"""),10)</f>
        <v>10</v>
      </c>
      <c r="S7" s="49" t="str">
        <f aca="false">IFERROR(__xludf.dummyfunction("""COMPUTED_VALUE"""),"-")</f>
        <v>-</v>
      </c>
      <c r="T7" s="49" t="str">
        <f aca="false">IFERROR(__xludf.dummyfunction("""COMPUTED_VALUE"""),"-")</f>
        <v>-</v>
      </c>
      <c r="U7" s="49" t="str">
        <f aca="false">IFERROR(__xludf.dummyfunction("""COMPUTED_VALUE"""),"-")</f>
        <v>-</v>
      </c>
      <c r="V7" s="49" t="str">
        <f aca="false">IFERROR(__xludf.dummyfunction("""COMPUTED_VALUE"""),"-")</f>
        <v>-</v>
      </c>
      <c r="W7" s="49" t="str">
        <f aca="false">IFERROR(__xludf.dummyfunction("""COMPUTED_VALUE"""),"-")</f>
        <v>-</v>
      </c>
      <c r="X7" s="49" t="str">
        <f aca="false">IFERROR(__xludf.dummyfunction("""COMPUTED_VALUE"""),"-")</f>
        <v>-</v>
      </c>
      <c r="Y7" s="49" t="str">
        <f aca="false">IFERROR(__xludf.dummyfunction("""COMPUTED_VALUE"""),"-")</f>
        <v>-</v>
      </c>
      <c r="Z7" s="49" t="str">
        <f aca="false">IFERROR(__xludf.dummyfunction("""COMPUTED_VALUE"""),"-")</f>
        <v>-</v>
      </c>
      <c r="AA7" s="49" t="str">
        <f aca="false">IFERROR(__xludf.dummyfunction("""COMPUTED_VALUE"""),"-")</f>
        <v>-</v>
      </c>
      <c r="AB7" s="49" t="str">
        <f aca="false">IFERROR(__xludf.dummyfunction("""COMPUTED_VALUE"""),"-")</f>
        <v>-</v>
      </c>
    </row>
    <row r="8" customFormat="false" ht="15.75" hidden="false" customHeight="false" outlineLevel="0" collapsed="false">
      <c r="A8" s="5" t="n">
        <f aca="false">IF(NOT(ISBLANK(B8)), ROW()-2,"")</f>
        <v>6</v>
      </c>
      <c r="B8" s="0" t="str">
        <f aca="false">IFERROR(__xludf.dummyfunction("""COMPUTED_VALUE"""),"Крючков")</f>
        <v>Крючков</v>
      </c>
      <c r="C8" s="0" t="str">
        <f aca="false">IFERROR(__xludf.dummyfunction("""COMPUTED_VALUE"""),"Сергей")</f>
        <v>Сергей</v>
      </c>
      <c r="D8" s="0" t="n">
        <f aca="false">IFERROR(__xludf.dummyfunction("""COMPUTED_VALUE"""),9)</f>
        <v>9</v>
      </c>
      <c r="E8" s="49" t="str">
        <f aca="false">IFERROR(__xludf.dummyfunction("""COMPUTED_VALUE"""),"+")</f>
        <v>+</v>
      </c>
      <c r="F8" s="49" t="str">
        <f aca="false">IFERROR(__xludf.dummyfunction("""COMPUTED_VALUE"""),"+")</f>
        <v>+</v>
      </c>
      <c r="G8" s="49" t="str">
        <f aca="false">IFERROR(__xludf.dummyfunction("""COMPUTED_VALUE"""),"+")</f>
        <v>+</v>
      </c>
      <c r="H8" s="49" t="str">
        <f aca="false">IFERROR(__xludf.dummyfunction("""COMPUTED_VALUE"""),"+")</f>
        <v>+</v>
      </c>
      <c r="I8" s="49" t="str">
        <f aca="false">IFERROR(__xludf.dummyfunction("""COMPUTED_VALUE"""),"+")</f>
        <v>+</v>
      </c>
      <c r="J8" s="49" t="str">
        <f aca="false">IFERROR(__xludf.dummyfunction("""COMPUTED_VALUE"""),"+")</f>
        <v>+</v>
      </c>
      <c r="K8" s="49" t="str">
        <f aca="false">IFERROR(__xludf.dummyfunction("""COMPUTED_VALUE"""),"+")</f>
        <v>+</v>
      </c>
      <c r="L8" s="49" t="str">
        <f aca="false">IFERROR(__xludf.dummyfunction("""COMPUTED_VALUE"""),"+")</f>
        <v>+</v>
      </c>
      <c r="M8" s="49" t="str">
        <f aca="false">IFERROR(__xludf.dummyfunction("""COMPUTED_VALUE"""),"+")</f>
        <v>+</v>
      </c>
      <c r="N8" s="49" t="str">
        <f aca="false">IFERROR(__xludf.dummyfunction("""COMPUTED_VALUE"""),"+")</f>
        <v>+</v>
      </c>
      <c r="O8" s="5" t="n">
        <f aca="false">IF(NOT(ISBLANK(P8)), ROW()-2,"")</f>
        <v>6</v>
      </c>
      <c r="P8" s="0" t="str">
        <f aca="false">IFERROR(__xludf.dummyfunction("""COMPUTED_VALUE"""),"Крючкова")</f>
        <v>Крючкова</v>
      </c>
      <c r="Q8" s="0" t="str">
        <f aca="false">IFERROR(__xludf.dummyfunction("""COMPUTED_VALUE"""),"Дарья")</f>
        <v>Дарья</v>
      </c>
      <c r="R8" s="0" t="n">
        <f aca="false">IFERROR(__xludf.dummyfunction("""COMPUTED_VALUE"""),11)</f>
        <v>11</v>
      </c>
      <c r="S8" s="49" t="str">
        <f aca="false">IFERROR(__xludf.dummyfunction("""COMPUTED_VALUE"""),"+")</f>
        <v>+</v>
      </c>
      <c r="T8" s="49" t="str">
        <f aca="false">IFERROR(__xludf.dummyfunction("""COMPUTED_VALUE"""),"+")</f>
        <v>+</v>
      </c>
      <c r="U8" s="49" t="str">
        <f aca="false">IFERROR(__xludf.dummyfunction("""COMPUTED_VALUE"""),"+")</f>
        <v>+</v>
      </c>
      <c r="V8" s="49" t="str">
        <f aca="false">IFERROR(__xludf.dummyfunction("""COMPUTED_VALUE"""),"+")</f>
        <v>+</v>
      </c>
      <c r="W8" s="49" t="str">
        <f aca="false">IFERROR(__xludf.dummyfunction("""COMPUTED_VALUE"""),"+")</f>
        <v>+</v>
      </c>
      <c r="X8" s="49" t="str">
        <f aca="false">IFERROR(__xludf.dummyfunction("""COMPUTED_VALUE"""),"+")</f>
        <v>+</v>
      </c>
      <c r="Y8" s="49" t="str">
        <f aca="false">IFERROR(__xludf.dummyfunction("""COMPUTED_VALUE"""),"+")</f>
        <v>+</v>
      </c>
      <c r="Z8" s="49" t="str">
        <f aca="false">IFERROR(__xludf.dummyfunction("""COMPUTED_VALUE"""),"+")</f>
        <v>+</v>
      </c>
      <c r="AA8" s="49" t="str">
        <f aca="false">IFERROR(__xludf.dummyfunction("""COMPUTED_VALUE"""),"+")</f>
        <v>+</v>
      </c>
      <c r="AB8" s="49" t="str">
        <f aca="false">IFERROR(__xludf.dummyfunction("""COMPUTED_VALUE"""),"+")</f>
        <v>+</v>
      </c>
    </row>
    <row r="9" customFormat="false" ht="15.75" hidden="false" customHeight="false" outlineLevel="0" collapsed="false">
      <c r="A9" s="5" t="n">
        <f aca="false">IF(NOT(ISBLANK(B9)), ROW()-2,"")</f>
        <v>7</v>
      </c>
      <c r="B9" s="0" t="str">
        <f aca="false">IFERROR(__xludf.dummyfunction("""COMPUTED_VALUE"""),"Рудских")</f>
        <v>Рудских</v>
      </c>
      <c r="C9" s="0" t="str">
        <f aca="false">IFERROR(__xludf.dummyfunction("""COMPUTED_VALUE"""),"Дмитрий")</f>
        <v>Дмитрий</v>
      </c>
      <c r="D9" s="0" t="n">
        <f aca="false">IFERROR(__xludf.dummyfunction("""COMPUTED_VALUE"""),10)</f>
        <v>10</v>
      </c>
      <c r="E9" s="49" t="str">
        <f aca="false">IFERROR(__xludf.dummyfunction("""COMPUTED_VALUE"""),"+")</f>
        <v>+</v>
      </c>
      <c r="F9" s="49" t="str">
        <f aca="false">IFERROR(__xludf.dummyfunction("""COMPUTED_VALUE"""),"+")</f>
        <v>+</v>
      </c>
      <c r="G9" s="49" t="str">
        <f aca="false">IFERROR(__xludf.dummyfunction("""COMPUTED_VALUE"""),"+")</f>
        <v>+</v>
      </c>
      <c r="H9" s="49" t="str">
        <f aca="false">IFERROR(__xludf.dummyfunction("""COMPUTED_VALUE"""),"+")</f>
        <v>+</v>
      </c>
      <c r="I9" s="49" t="str">
        <f aca="false">IFERROR(__xludf.dummyfunction("""COMPUTED_VALUE"""),"+")</f>
        <v>+</v>
      </c>
      <c r="J9" s="49" t="str">
        <f aca="false">IFERROR(__xludf.dummyfunction("""COMPUTED_VALUE"""),"+")</f>
        <v>+</v>
      </c>
      <c r="K9" s="49" t="str">
        <f aca="false">IFERROR(__xludf.dummyfunction("""COMPUTED_VALUE"""),"+")</f>
        <v>+</v>
      </c>
      <c r="L9" s="49" t="str">
        <f aca="false">IFERROR(__xludf.dummyfunction("""COMPUTED_VALUE"""),"+")</f>
        <v>+</v>
      </c>
      <c r="M9" s="49" t="str">
        <f aca="false">IFERROR(__xludf.dummyfunction("""COMPUTED_VALUE"""),"+")</f>
        <v>+</v>
      </c>
      <c r="N9" s="49" t="str">
        <f aca="false">IFERROR(__xludf.dummyfunction("""COMPUTED_VALUE"""),"+")</f>
        <v>+</v>
      </c>
      <c r="O9" s="5" t="n">
        <f aca="false">IF(NOT(ISBLANK(P9)), ROW()-2,"")</f>
        <v>7</v>
      </c>
      <c r="P9" s="0" t="str">
        <f aca="false">IFERROR(__xludf.dummyfunction("""COMPUTED_VALUE"""),"Ефимова")</f>
        <v>Ефимова</v>
      </c>
      <c r="Q9" s="0" t="str">
        <f aca="false">IFERROR(__xludf.dummyfunction("""COMPUTED_VALUE"""),"Екатерина")</f>
        <v>Екатерина</v>
      </c>
      <c r="R9" s="0" t="n">
        <f aca="false">IFERROR(__xludf.dummyfunction("""COMPUTED_VALUE"""),7)</f>
        <v>7</v>
      </c>
      <c r="S9" s="49" t="str">
        <f aca="false">IFERROR(__xludf.dummyfunction("""COMPUTED_VALUE"""),"+")</f>
        <v>+</v>
      </c>
      <c r="T9" s="49" t="str">
        <f aca="false">IFERROR(__xludf.dummyfunction("""COMPUTED_VALUE"""),"+")</f>
        <v>+</v>
      </c>
      <c r="U9" s="49" t="str">
        <f aca="false">IFERROR(__xludf.dummyfunction("""COMPUTED_VALUE"""),"+")</f>
        <v>+</v>
      </c>
      <c r="V9" s="49" t="str">
        <f aca="false">IFERROR(__xludf.dummyfunction("""COMPUTED_VALUE"""),"+")</f>
        <v>+</v>
      </c>
      <c r="W9" s="49" t="str">
        <f aca="false">IFERROR(__xludf.dummyfunction("""COMPUTED_VALUE"""),"-")</f>
        <v>-</v>
      </c>
      <c r="X9" s="49" t="str">
        <f aca="false">IFERROR(__xludf.dummyfunction("""COMPUTED_VALUE"""),"-")</f>
        <v>-</v>
      </c>
      <c r="Y9" s="49" t="str">
        <f aca="false">IFERROR(__xludf.dummyfunction("""COMPUTED_VALUE"""),"+")</f>
        <v>+</v>
      </c>
      <c r="Z9" s="49" t="str">
        <f aca="false">IFERROR(__xludf.dummyfunction("""COMPUTED_VALUE"""),"+")</f>
        <v>+</v>
      </c>
      <c r="AA9" s="49" t="str">
        <f aca="false">IFERROR(__xludf.dummyfunction("""COMPUTED_VALUE"""),"+")</f>
        <v>+</v>
      </c>
      <c r="AB9" s="49" t="str">
        <f aca="false">IFERROR(__xludf.dummyfunction("""COMPUTED_VALUE"""),"+")</f>
        <v>+</v>
      </c>
    </row>
    <row r="10" customFormat="false" ht="15.75" hidden="false" customHeight="false" outlineLevel="0" collapsed="false">
      <c r="A10" s="5" t="n">
        <f aca="false">IF(NOT(ISBLANK(B10)), ROW()-2,"")</f>
        <v>8</v>
      </c>
      <c r="B10" s="0" t="str">
        <f aca="false">IFERROR(__xludf.dummyfunction("""COMPUTED_VALUE"""),"Целиков")</f>
        <v>Целиков</v>
      </c>
      <c r="C10" s="0" t="str">
        <f aca="false">IFERROR(__xludf.dummyfunction("""COMPUTED_VALUE"""),"Иван")</f>
        <v>Иван</v>
      </c>
      <c r="D10" s="0" t="n">
        <f aca="false">IFERROR(__xludf.dummyfunction("""COMPUTED_VALUE"""),7)</f>
        <v>7</v>
      </c>
      <c r="E10" s="49" t="str">
        <f aca="false">IFERROR(__xludf.dummyfunction("""COMPUTED_VALUE"""),"-")</f>
        <v>-</v>
      </c>
      <c r="F10" s="49" t="str">
        <f aca="false">IFERROR(__xludf.dummyfunction("""COMPUTED_VALUE"""),"-")</f>
        <v>-</v>
      </c>
      <c r="G10" s="49" t="str">
        <f aca="false">IFERROR(__xludf.dummyfunction("""COMPUTED_VALUE"""),"-")</f>
        <v>-</v>
      </c>
      <c r="H10" s="49" t="str">
        <f aca="false">IFERROR(__xludf.dummyfunction("""COMPUTED_VALUE"""),"-")</f>
        <v>-</v>
      </c>
      <c r="I10" s="49" t="str">
        <f aca="false">IFERROR(__xludf.dummyfunction("""COMPUTED_VALUE"""),"-")</f>
        <v>-</v>
      </c>
      <c r="J10" s="49" t="str">
        <f aca="false">IFERROR(__xludf.dummyfunction("""COMPUTED_VALUE"""),"-")</f>
        <v>-</v>
      </c>
      <c r="K10" s="49" t="str">
        <f aca="false">IFERROR(__xludf.dummyfunction("""COMPUTED_VALUE"""),"-")</f>
        <v>-</v>
      </c>
      <c r="L10" s="49" t="str">
        <f aca="false">IFERROR(__xludf.dummyfunction("""COMPUTED_VALUE"""),"-")</f>
        <v>-</v>
      </c>
      <c r="M10" s="49" t="str">
        <f aca="false">IFERROR(__xludf.dummyfunction("""COMPUTED_VALUE"""),"-")</f>
        <v>-</v>
      </c>
      <c r="N10" s="49" t="str">
        <f aca="false">IFERROR(__xludf.dummyfunction("""COMPUTED_VALUE"""),"-")</f>
        <v>-</v>
      </c>
      <c r="O10" s="5" t="n">
        <f aca="false">IF(NOT(ISBLANK(P10)), ROW()-2,"")</f>
        <v>8</v>
      </c>
      <c r="P10" s="0" t="str">
        <f aca="false">IFERROR(__xludf.dummyfunction("""COMPUTED_VALUE"""),"Артамонов")</f>
        <v>Артамонов</v>
      </c>
      <c r="Q10" s="0" t="str">
        <f aca="false">IFERROR(__xludf.dummyfunction("""COMPUTED_VALUE"""),"Виктор")</f>
        <v>Виктор</v>
      </c>
      <c r="R10" s="0" t="n">
        <f aca="false">IFERROR(__xludf.dummyfunction("""COMPUTED_VALUE"""),9)</f>
        <v>9</v>
      </c>
      <c r="S10" s="49" t="str">
        <f aca="false">IFERROR(__xludf.dummyfunction("""COMPUTED_VALUE"""),"+")</f>
        <v>+</v>
      </c>
      <c r="T10" s="49" t="str">
        <f aca="false">IFERROR(__xludf.dummyfunction("""COMPUTED_VALUE"""),"+")</f>
        <v>+</v>
      </c>
      <c r="U10" s="49" t="str">
        <f aca="false">IFERROR(__xludf.dummyfunction("""COMPUTED_VALUE"""),"-")</f>
        <v>-</v>
      </c>
      <c r="V10" s="49" t="str">
        <f aca="false">IFERROR(__xludf.dummyfunction("""COMPUTED_VALUE"""),"-")</f>
        <v>-</v>
      </c>
      <c r="W10" s="49" t="str">
        <f aca="false">IFERROR(__xludf.dummyfunction("""COMPUTED_VALUE"""),"+")</f>
        <v>+</v>
      </c>
      <c r="X10" s="49" t="str">
        <f aca="false">IFERROR(__xludf.dummyfunction("""COMPUTED_VALUE"""),"+")</f>
        <v>+</v>
      </c>
      <c r="Y10" s="49" t="str">
        <f aca="false">IFERROR(__xludf.dummyfunction("""COMPUTED_VALUE"""),"-")</f>
        <v>-</v>
      </c>
      <c r="Z10" s="49" t="str">
        <f aca="false">IFERROR(__xludf.dummyfunction("""COMPUTED_VALUE"""),"-")</f>
        <v>-</v>
      </c>
      <c r="AA10" s="49" t="str">
        <f aca="false">IFERROR(__xludf.dummyfunction("""COMPUTED_VALUE"""),"-")</f>
        <v>-</v>
      </c>
      <c r="AB10" s="49" t="str">
        <f aca="false">IFERROR(__xludf.dummyfunction("""COMPUTED_VALUE"""),"-")</f>
        <v>-</v>
      </c>
    </row>
    <row r="11" customFormat="false" ht="15.75" hidden="false" customHeight="false" outlineLevel="0" collapsed="false">
      <c r="A11" s="5" t="n">
        <f aca="false">IF(NOT(ISBLANK(B11)), ROW()-2,"")</f>
        <v>9</v>
      </c>
      <c r="B11" s="0" t="str">
        <f aca="false">IFERROR(__xludf.dummyfunction("""COMPUTED_VALUE"""),"Моисеева")</f>
        <v>Моисеева</v>
      </c>
      <c r="C11" s="0" t="str">
        <f aca="false">IFERROR(__xludf.dummyfunction("""COMPUTED_VALUE"""),"Вероника")</f>
        <v>Вероника</v>
      </c>
      <c r="D11" s="0" t="n">
        <f aca="false">IFERROR(__xludf.dummyfunction("""COMPUTED_VALUE"""),7)</f>
        <v>7</v>
      </c>
      <c r="E11" s="49" t="str">
        <f aca="false">IFERROR(__xludf.dummyfunction("""COMPUTED_VALUE"""),"+")</f>
        <v>+</v>
      </c>
      <c r="F11" s="49" t="str">
        <f aca="false">IFERROR(__xludf.dummyfunction("""COMPUTED_VALUE"""),"+")</f>
        <v>+</v>
      </c>
      <c r="G11" s="49" t="str">
        <f aca="false">IFERROR(__xludf.dummyfunction("""COMPUTED_VALUE"""),"+")</f>
        <v>+</v>
      </c>
      <c r="H11" s="49" t="str">
        <f aca="false">IFERROR(__xludf.dummyfunction("""COMPUTED_VALUE"""),"+")</f>
        <v>+</v>
      </c>
      <c r="I11" s="49" t="str">
        <f aca="false">IFERROR(__xludf.dummyfunction("""COMPUTED_VALUE"""),"-")</f>
        <v>-</v>
      </c>
      <c r="J11" s="49" t="str">
        <f aca="false">IFERROR(__xludf.dummyfunction("""COMPUTED_VALUE"""),"-")</f>
        <v>-</v>
      </c>
      <c r="K11" s="49" t="str">
        <f aca="false">IFERROR(__xludf.dummyfunction("""COMPUTED_VALUE"""),"+")</f>
        <v>+</v>
      </c>
      <c r="L11" s="49" t="str">
        <f aca="false">IFERROR(__xludf.dummyfunction("""COMPUTED_VALUE"""),"+")</f>
        <v>+</v>
      </c>
      <c r="M11" s="49" t="str">
        <f aca="false">IFERROR(__xludf.dummyfunction("""COMPUTED_VALUE"""),"+")</f>
        <v>+</v>
      </c>
      <c r="N11" s="49" t="str">
        <f aca="false">IFERROR(__xludf.dummyfunction("""COMPUTED_VALUE"""),"+")</f>
        <v>+</v>
      </c>
      <c r="O11" s="5" t="n">
        <f aca="false">IF(NOT(ISBLANK(P11)), ROW()-2,"")</f>
        <v>9</v>
      </c>
      <c r="P11" s="0" t="str">
        <f aca="false">IFERROR(__xludf.dummyfunction("""COMPUTED_VALUE"""),"Ибатуллина")</f>
        <v>Ибатуллина</v>
      </c>
      <c r="Q11" s="0" t="str">
        <f aca="false">IFERROR(__xludf.dummyfunction("""COMPUTED_VALUE"""),"Амалия")</f>
        <v>Амалия</v>
      </c>
      <c r="R11" s="0" t="n">
        <f aca="false">IFERROR(__xludf.dummyfunction("""COMPUTED_VALUE"""),7)</f>
        <v>7</v>
      </c>
      <c r="S11" s="49" t="str">
        <f aca="false">IFERROR(__xludf.dummyfunction("""COMPUTED_VALUE"""),"+")</f>
        <v>+</v>
      </c>
      <c r="T11" s="49" t="str">
        <f aca="false">IFERROR(__xludf.dummyfunction("""COMPUTED_VALUE"""),"+")</f>
        <v>+</v>
      </c>
      <c r="U11" s="49" t="str">
        <f aca="false">IFERROR(__xludf.dummyfunction("""COMPUTED_VALUE"""),"+")</f>
        <v>+</v>
      </c>
      <c r="V11" s="49" t="str">
        <f aca="false">IFERROR(__xludf.dummyfunction("""COMPUTED_VALUE"""),"+")</f>
        <v>+</v>
      </c>
      <c r="W11" s="49" t="str">
        <f aca="false">IFERROR(__xludf.dummyfunction("""COMPUTED_VALUE"""),"+")</f>
        <v>+</v>
      </c>
      <c r="X11" s="49" t="str">
        <f aca="false">IFERROR(__xludf.dummyfunction("""COMPUTED_VALUE"""),"+")</f>
        <v>+</v>
      </c>
      <c r="Y11" s="49" t="str">
        <f aca="false">IFERROR(__xludf.dummyfunction("""COMPUTED_VALUE"""),"-")</f>
        <v>-</v>
      </c>
      <c r="Z11" s="49" t="str">
        <f aca="false">IFERROR(__xludf.dummyfunction("""COMPUTED_VALUE"""),"-")</f>
        <v>-</v>
      </c>
      <c r="AA11" s="49" t="str">
        <f aca="false">IFERROR(__xludf.dummyfunction("""COMPUTED_VALUE"""),"+")</f>
        <v>+</v>
      </c>
      <c r="AB11" s="49" t="str">
        <f aca="false">IFERROR(__xludf.dummyfunction("""COMPUTED_VALUE"""),"+")</f>
        <v>+</v>
      </c>
    </row>
    <row r="12" customFormat="false" ht="15.75" hidden="false" customHeight="false" outlineLevel="0" collapsed="false">
      <c r="A12" s="5" t="n">
        <f aca="false">IF(NOT(ISBLANK(B12)), ROW()-2,"")</f>
        <v>10</v>
      </c>
      <c r="B12" s="0" t="str">
        <f aca="false">IFERROR(__xludf.dummyfunction("""COMPUTED_VALUE"""),"Суров")</f>
        <v>Суров</v>
      </c>
      <c r="C12" s="0" t="str">
        <f aca="false">IFERROR(__xludf.dummyfunction("""COMPUTED_VALUE"""),"Матвей")</f>
        <v>Матвей</v>
      </c>
      <c r="D12" s="0" t="n">
        <f aca="false">IFERROR(__xludf.dummyfunction("""COMPUTED_VALUE"""),6)</f>
        <v>6</v>
      </c>
      <c r="E12" s="49" t="str">
        <f aca="false">IFERROR(__xludf.dummyfunction("""COMPUTED_VALUE"""),"+")</f>
        <v>+</v>
      </c>
      <c r="F12" s="49" t="str">
        <f aca="false">IFERROR(__xludf.dummyfunction("""COMPUTED_VALUE"""),"+")</f>
        <v>+</v>
      </c>
      <c r="G12" s="49" t="str">
        <f aca="false">IFERROR(__xludf.dummyfunction("""COMPUTED_VALUE"""),"+")</f>
        <v>+</v>
      </c>
      <c r="H12" s="49" t="str">
        <f aca="false">IFERROR(__xludf.dummyfunction("""COMPUTED_VALUE"""),"+")</f>
        <v>+</v>
      </c>
      <c r="I12" s="49" t="str">
        <f aca="false">IFERROR(__xludf.dummyfunction("""COMPUTED_VALUE"""),"+")</f>
        <v>+</v>
      </c>
      <c r="J12" s="49" t="str">
        <f aca="false">IFERROR(__xludf.dummyfunction("""COMPUTED_VALUE"""),"+")</f>
        <v>+</v>
      </c>
      <c r="K12" s="49" t="str">
        <f aca="false">IFERROR(__xludf.dummyfunction("""COMPUTED_VALUE"""),"+")</f>
        <v>+</v>
      </c>
      <c r="L12" s="49" t="str">
        <f aca="false">IFERROR(__xludf.dummyfunction("""COMPUTED_VALUE"""),"+")</f>
        <v>+</v>
      </c>
      <c r="M12" s="49" t="str">
        <f aca="false">IFERROR(__xludf.dummyfunction("""COMPUTED_VALUE"""),"+")</f>
        <v>+</v>
      </c>
      <c r="N12" s="49" t="str">
        <f aca="false">IFERROR(__xludf.dummyfunction("""COMPUTED_VALUE"""),"+")</f>
        <v>+</v>
      </c>
      <c r="O12" s="5" t="n">
        <f aca="false">IF(NOT(ISBLANK(P12)), ROW()-2,"")</f>
        <v>10</v>
      </c>
      <c r="P12" s="0" t="str">
        <f aca="false">IFERROR(__xludf.dummyfunction("""COMPUTED_VALUE"""),"Мальцев")</f>
        <v>Мальцев</v>
      </c>
      <c r="Q12" s="0" t="str">
        <f aca="false">IFERROR(__xludf.dummyfunction("""COMPUTED_VALUE"""),"Владимир")</f>
        <v>Владимир</v>
      </c>
      <c r="R12" s="0" t="n">
        <f aca="false">IFERROR(__xludf.dummyfunction("""COMPUTED_VALUE"""),7)</f>
        <v>7</v>
      </c>
      <c r="S12" s="49" t="str">
        <f aca="false">IFERROR(__xludf.dummyfunction("""COMPUTED_VALUE"""),"+")</f>
        <v>+</v>
      </c>
      <c r="T12" s="49" t="str">
        <f aca="false">IFERROR(__xludf.dummyfunction("""COMPUTED_VALUE"""),"+")</f>
        <v>+</v>
      </c>
      <c r="U12" s="49" t="str">
        <f aca="false">IFERROR(__xludf.dummyfunction("""COMPUTED_VALUE"""),"+")</f>
        <v>+</v>
      </c>
      <c r="V12" s="49" t="str">
        <f aca="false">IFERROR(__xludf.dummyfunction("""COMPUTED_VALUE"""),"+")</f>
        <v>+</v>
      </c>
      <c r="W12" s="49" t="str">
        <f aca="false">IFERROR(__xludf.dummyfunction("""COMPUTED_VALUE"""),"+")</f>
        <v>+</v>
      </c>
      <c r="X12" s="49" t="str">
        <f aca="false">IFERROR(__xludf.dummyfunction("""COMPUTED_VALUE"""),"+")</f>
        <v>+</v>
      </c>
      <c r="Y12" s="49" t="str">
        <f aca="false">IFERROR(__xludf.dummyfunction("""COMPUTED_VALUE"""),"+")</f>
        <v>+</v>
      </c>
      <c r="Z12" s="49" t="str">
        <f aca="false">IFERROR(__xludf.dummyfunction("""COMPUTED_VALUE"""),"+")</f>
        <v>+</v>
      </c>
      <c r="AA12" s="49" t="str">
        <f aca="false">IFERROR(__xludf.dummyfunction("""COMPUTED_VALUE"""),"+")</f>
        <v>+</v>
      </c>
      <c r="AB12" s="49" t="str">
        <f aca="false">IFERROR(__xludf.dummyfunction("""COMPUTED_VALUE"""),"+")</f>
        <v>+</v>
      </c>
    </row>
    <row r="13" customFormat="false" ht="15.75" hidden="false" customHeight="false" outlineLevel="0" collapsed="false">
      <c r="A13" s="5" t="n">
        <f aca="false">IF(NOT(ISBLANK(B13)), ROW()-2,"")</f>
        <v>11</v>
      </c>
      <c r="B13" s="0" t="str">
        <f aca="false">IFERROR(__xludf.dummyfunction("""COMPUTED_VALUE"""),"Желдак")</f>
        <v>Желдак</v>
      </c>
      <c r="C13" s="0" t="str">
        <f aca="false">IFERROR(__xludf.dummyfunction("""COMPUTED_VALUE"""),"Леонид")</f>
        <v>Леонид</v>
      </c>
      <c r="D13" s="0" t="n">
        <f aca="false">IFERROR(__xludf.dummyfunction("""COMPUTED_VALUE"""),7)</f>
        <v>7</v>
      </c>
      <c r="E13" s="49" t="str">
        <f aca="false">IFERROR(__xludf.dummyfunction("""COMPUTED_VALUE"""),"+")</f>
        <v>+</v>
      </c>
      <c r="F13" s="49" t="str">
        <f aca="false">IFERROR(__xludf.dummyfunction("""COMPUTED_VALUE"""),"+")</f>
        <v>+</v>
      </c>
      <c r="G13" s="49" t="str">
        <f aca="false">IFERROR(__xludf.dummyfunction("""COMPUTED_VALUE"""),"+")</f>
        <v>+</v>
      </c>
      <c r="H13" s="49" t="str">
        <f aca="false">IFERROR(__xludf.dummyfunction("""COMPUTED_VALUE"""),"+")</f>
        <v>+</v>
      </c>
      <c r="I13" s="49" t="str">
        <f aca="false">IFERROR(__xludf.dummyfunction("""COMPUTED_VALUE"""),"+")</f>
        <v>+</v>
      </c>
      <c r="J13" s="49" t="str">
        <f aca="false">IFERROR(__xludf.dummyfunction("""COMPUTED_VALUE"""),"+")</f>
        <v>+</v>
      </c>
      <c r="K13" s="49" t="str">
        <f aca="false">IFERROR(__xludf.dummyfunction("""COMPUTED_VALUE"""),"+")</f>
        <v>+</v>
      </c>
      <c r="L13" s="49" t="str">
        <f aca="false">IFERROR(__xludf.dummyfunction("""COMPUTED_VALUE"""),"+")</f>
        <v>+</v>
      </c>
      <c r="M13" s="49" t="str">
        <f aca="false">IFERROR(__xludf.dummyfunction("""COMPUTED_VALUE"""),"+")</f>
        <v>+</v>
      </c>
      <c r="N13" s="49" t="str">
        <f aca="false">IFERROR(__xludf.dummyfunction("""COMPUTED_VALUE"""),"+")</f>
        <v>+</v>
      </c>
      <c r="O13" s="5" t="n">
        <f aca="false">IF(NOT(ISBLANK(P13)), ROW()-2,"")</f>
        <v>11</v>
      </c>
      <c r="P13" s="0" t="str">
        <f aca="false">IFERROR(__xludf.dummyfunction("""COMPUTED_VALUE"""),"Черноок")</f>
        <v>Черноок</v>
      </c>
      <c r="Q13" s="0" t="str">
        <f aca="false">IFERROR(__xludf.dummyfunction("""COMPUTED_VALUE"""),"Егор ")</f>
        <v>Егор</v>
      </c>
      <c r="R13" s="0" t="n">
        <f aca="false">IFERROR(__xludf.dummyfunction("""COMPUTED_VALUE"""),10)</f>
        <v>10</v>
      </c>
      <c r="S13" s="49" t="str">
        <f aca="false">IFERROR(__xludf.dummyfunction("""COMPUTED_VALUE"""),"+")</f>
        <v>+</v>
      </c>
      <c r="T13" s="49" t="str">
        <f aca="false">IFERROR(__xludf.dummyfunction("""COMPUTED_VALUE"""),"+")</f>
        <v>+</v>
      </c>
      <c r="U13" s="49" t="str">
        <f aca="false">IFERROR(__xludf.dummyfunction("""COMPUTED_VALUE"""),"+")</f>
        <v>+</v>
      </c>
      <c r="V13" s="49" t="str">
        <f aca="false">IFERROR(__xludf.dummyfunction("""COMPUTED_VALUE"""),"+")</f>
        <v>+</v>
      </c>
      <c r="W13" s="49" t="str">
        <f aca="false">IFERROR(__xludf.dummyfunction("""COMPUTED_VALUE"""),"+")</f>
        <v>+</v>
      </c>
      <c r="X13" s="49" t="str">
        <f aca="false">IFERROR(__xludf.dummyfunction("""COMPUTED_VALUE"""),"+")</f>
        <v>+</v>
      </c>
      <c r="Y13" s="49" t="str">
        <f aca="false">IFERROR(__xludf.dummyfunction("""COMPUTED_VALUE"""),"+")</f>
        <v>+</v>
      </c>
      <c r="Z13" s="49" t="str">
        <f aca="false">IFERROR(__xludf.dummyfunction("""COMPUTED_VALUE"""),"+")</f>
        <v>+</v>
      </c>
      <c r="AA13" s="49" t="str">
        <f aca="false">IFERROR(__xludf.dummyfunction("""COMPUTED_VALUE"""),"+")</f>
        <v>+</v>
      </c>
      <c r="AB13" s="49" t="str">
        <f aca="false">IFERROR(__xludf.dummyfunction("""COMPUTED_VALUE"""),"+")</f>
        <v>+</v>
      </c>
    </row>
    <row r="14" customFormat="false" ht="15.75" hidden="false" customHeight="false" outlineLevel="0" collapsed="false">
      <c r="A14" s="5" t="str">
        <f aca="false">IF(NOT(ISBLANK(B14)), ROW()-2,"")</f>
        <v/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" t="n">
        <f aca="false">IF(NOT(ISBLANK(P14)), ROW()-2,"")</f>
        <v>12</v>
      </c>
      <c r="P14" s="0" t="str">
        <f aca="false">IFERROR(__xludf.dummyfunction("""COMPUTED_VALUE"""),"Кошевая")</f>
        <v>Кошевая</v>
      </c>
      <c r="Q14" s="0" t="str">
        <f aca="false">IFERROR(__xludf.dummyfunction("""COMPUTED_VALUE"""),"Анастасия")</f>
        <v>Анастасия</v>
      </c>
      <c r="R14" s="0" t="n">
        <f aca="false">IFERROR(__xludf.dummyfunction("""COMPUTED_VALUE"""),7)</f>
        <v>7</v>
      </c>
      <c r="S14" s="49" t="str">
        <f aca="false">IFERROR(__xludf.dummyfunction("""COMPUTED_VALUE"""),"+")</f>
        <v>+</v>
      </c>
      <c r="T14" s="49" t="str">
        <f aca="false">IFERROR(__xludf.dummyfunction("""COMPUTED_VALUE"""),"+")</f>
        <v>+</v>
      </c>
      <c r="U14" s="49" t="str">
        <f aca="false">IFERROR(__xludf.dummyfunction("""COMPUTED_VALUE"""),"+")</f>
        <v>+</v>
      </c>
      <c r="V14" s="49" t="str">
        <f aca="false">IFERROR(__xludf.dummyfunction("""COMPUTED_VALUE"""),"+")</f>
        <v>+</v>
      </c>
      <c r="W14" s="49" t="str">
        <f aca="false">IFERROR(__xludf.dummyfunction("""COMPUTED_VALUE"""),"+")</f>
        <v>+</v>
      </c>
      <c r="X14" s="49" t="str">
        <f aca="false">IFERROR(__xludf.dummyfunction("""COMPUTED_VALUE"""),"+")</f>
        <v>+</v>
      </c>
      <c r="Y14" s="49" t="str">
        <f aca="false">IFERROR(__xludf.dummyfunction("""COMPUTED_VALUE"""),"+")</f>
        <v>+</v>
      </c>
      <c r="Z14" s="49" t="str">
        <f aca="false">IFERROR(__xludf.dummyfunction("""COMPUTED_VALUE"""),"+")</f>
        <v>+</v>
      </c>
      <c r="AA14" s="49" t="str">
        <f aca="false">IFERROR(__xludf.dummyfunction("""COMPUTED_VALUE"""),"+")</f>
        <v>+</v>
      </c>
      <c r="AB14" s="49" t="str">
        <f aca="false">IFERROR(__xludf.dummyfunction("""COMPUTED_VALUE"""),"+")</f>
        <v>+</v>
      </c>
    </row>
    <row r="15" customFormat="false" ht="15.75" hidden="false" customHeight="false" outlineLevel="0" collapsed="false">
      <c r="A15" s="5" t="str">
        <f aca="false">IF(NOT(ISBLANK(B15)), ROW()-2,"")</f>
        <v/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" t="n">
        <f aca="false">IF(NOT(ISBLANK(P15)), ROW()-2,"")</f>
        <v>13</v>
      </c>
      <c r="P15" s="0" t="str">
        <f aca="false">IFERROR(__xludf.dummyfunction("""COMPUTED_VALUE"""),"Долгова")</f>
        <v>Долгова</v>
      </c>
      <c r="Q15" s="0" t="str">
        <f aca="false">IFERROR(__xludf.dummyfunction("""COMPUTED_VALUE"""),"Анна")</f>
        <v>Анна</v>
      </c>
      <c r="R15" s="0" t="n">
        <f aca="false">IFERROR(__xludf.dummyfunction("""COMPUTED_VALUE"""),7)</f>
        <v>7</v>
      </c>
      <c r="S15" s="49" t="str">
        <f aca="false">IFERROR(__xludf.dummyfunction("""COMPUTED_VALUE"""),"+")</f>
        <v>+</v>
      </c>
      <c r="T15" s="49" t="str">
        <f aca="false">IFERROR(__xludf.dummyfunction("""COMPUTED_VALUE"""),"+")</f>
        <v>+</v>
      </c>
      <c r="U15" s="49" t="str">
        <f aca="false">IFERROR(__xludf.dummyfunction("""COMPUTED_VALUE"""),"+")</f>
        <v>+</v>
      </c>
      <c r="V15" s="49" t="str">
        <f aca="false">IFERROR(__xludf.dummyfunction("""COMPUTED_VALUE"""),"+")</f>
        <v>+</v>
      </c>
      <c r="W15" s="49" t="str">
        <f aca="false">IFERROR(__xludf.dummyfunction("""COMPUTED_VALUE"""),"+")</f>
        <v>+</v>
      </c>
      <c r="X15" s="49" t="str">
        <f aca="false">IFERROR(__xludf.dummyfunction("""COMPUTED_VALUE"""),"+")</f>
        <v>+</v>
      </c>
      <c r="Y15" s="49" t="str">
        <f aca="false">IFERROR(__xludf.dummyfunction("""COMPUTED_VALUE"""),"+")</f>
        <v>+</v>
      </c>
      <c r="Z15" s="49" t="str">
        <f aca="false">IFERROR(__xludf.dummyfunction("""COMPUTED_VALUE"""),"+")</f>
        <v>+</v>
      </c>
      <c r="AA15" s="49" t="str">
        <f aca="false">IFERROR(__xludf.dummyfunction("""COMPUTED_VALUE"""),"+")</f>
        <v>+</v>
      </c>
      <c r="AB15" s="49" t="str">
        <f aca="false">IFERROR(__xludf.dummyfunction("""COMPUTED_VALUE"""),"+")</f>
        <v>+</v>
      </c>
    </row>
    <row r="16" customFormat="false" ht="15.75" hidden="false" customHeight="false" outlineLevel="0" collapsed="false">
      <c r="A16" s="5" t="str">
        <f aca="false">IF(NOT(ISBLANK(B16)), ROW()-2,"")</f>
        <v/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" t="n">
        <f aca="false">IF(NOT(ISBLANK(P16)), ROW()-2,"")</f>
        <v>14</v>
      </c>
      <c r="P16" s="0" t="str">
        <f aca="false">IFERROR(__xludf.dummyfunction("""COMPUTED_VALUE"""),"Поркулевич")</f>
        <v>Поркулевич</v>
      </c>
      <c r="Q16" s="0" t="str">
        <f aca="false">IFERROR(__xludf.dummyfunction("""COMPUTED_VALUE"""),"Семён")</f>
        <v>Семён</v>
      </c>
      <c r="R16" s="0" t="n">
        <f aca="false">IFERROR(__xludf.dummyfunction("""COMPUTED_VALUE"""),9)</f>
        <v>9</v>
      </c>
      <c r="S16" s="49" t="str">
        <f aca="false">IFERROR(__xludf.dummyfunction("""COMPUTED_VALUE"""),"-")</f>
        <v>-</v>
      </c>
      <c r="T16" s="49" t="str">
        <f aca="false">IFERROR(__xludf.dummyfunction("""COMPUTED_VALUE"""),"-")</f>
        <v>-</v>
      </c>
      <c r="U16" s="49" t="str">
        <f aca="false">IFERROR(__xludf.dummyfunction("""COMPUTED_VALUE"""),"-")</f>
        <v>-</v>
      </c>
      <c r="V16" s="49" t="str">
        <f aca="false">IFERROR(__xludf.dummyfunction("""COMPUTED_VALUE"""),"-")</f>
        <v>-</v>
      </c>
      <c r="W16" s="49" t="str">
        <f aca="false">IFERROR(__xludf.dummyfunction("""COMPUTED_VALUE"""),"-")</f>
        <v>-</v>
      </c>
      <c r="X16" s="49" t="str">
        <f aca="false">IFERROR(__xludf.dummyfunction("""COMPUTED_VALUE"""),"-")</f>
        <v>-</v>
      </c>
      <c r="Y16" s="49" t="str">
        <f aca="false">IFERROR(__xludf.dummyfunction("""COMPUTED_VALUE"""),"-")</f>
        <v>-</v>
      </c>
      <c r="Z16" s="49" t="str">
        <f aca="false">IFERROR(__xludf.dummyfunction("""COMPUTED_VALUE"""),"-")</f>
        <v>-</v>
      </c>
      <c r="AA16" s="49" t="str">
        <f aca="false">IFERROR(__xludf.dummyfunction("""COMPUTED_VALUE"""),"-")</f>
        <v>-</v>
      </c>
      <c r="AB16" s="49" t="str">
        <f aca="false">IFERROR(__xludf.dummyfunction("""COMPUTED_VALUE"""),"-")</f>
        <v>-</v>
      </c>
    </row>
    <row r="17" customFormat="false" ht="15.75" hidden="false" customHeight="false" outlineLevel="0" collapsed="false">
      <c r="A17" s="5" t="str">
        <f aca="false">IF(NOT(ISBLANK(B17)), ROW()-2,"")</f>
        <v/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" t="n">
        <f aca="false">IF(NOT(ISBLANK(P17)), ROW()-2,"")</f>
        <v>15</v>
      </c>
      <c r="P17" s="0" t="str">
        <f aca="false">IFERROR(__xludf.dummyfunction("""COMPUTED_VALUE"""),"Сербин")</f>
        <v>Сербин</v>
      </c>
      <c r="Q17" s="0" t="str">
        <f aca="false">IFERROR(__xludf.dummyfunction("""COMPUTED_VALUE"""),"Максим")</f>
        <v>Максим</v>
      </c>
      <c r="R17" s="0" t="n">
        <f aca="false">IFERROR(__xludf.dummyfunction("""COMPUTED_VALUE"""),8)</f>
        <v>8</v>
      </c>
      <c r="S17" s="49" t="str">
        <f aca="false">IFERROR(__xludf.dummyfunction("""COMPUTED_VALUE"""),"-")</f>
        <v>-</v>
      </c>
      <c r="T17" s="49" t="str">
        <f aca="false">IFERROR(__xludf.dummyfunction("""COMPUTED_VALUE"""),"-")</f>
        <v>-</v>
      </c>
      <c r="U17" s="49" t="str">
        <f aca="false">IFERROR(__xludf.dummyfunction("""COMPUTED_VALUE"""),"-")</f>
        <v>-</v>
      </c>
      <c r="V17" s="49" t="str">
        <f aca="false">IFERROR(__xludf.dummyfunction("""COMPUTED_VALUE"""),"-")</f>
        <v>-</v>
      </c>
      <c r="W17" s="49" t="str">
        <f aca="false">IFERROR(__xludf.dummyfunction("""COMPUTED_VALUE"""),"-")</f>
        <v>-</v>
      </c>
      <c r="X17" s="49" t="str">
        <f aca="false">IFERROR(__xludf.dummyfunction("""COMPUTED_VALUE"""),"-")</f>
        <v>-</v>
      </c>
      <c r="Y17" s="49" t="str">
        <f aca="false">IFERROR(__xludf.dummyfunction("""COMPUTED_VALUE"""),"-")</f>
        <v>-</v>
      </c>
      <c r="Z17" s="49" t="str">
        <f aca="false">IFERROR(__xludf.dummyfunction("""COMPUTED_VALUE"""),"-")</f>
        <v>-</v>
      </c>
      <c r="AA17" s="49" t="str">
        <f aca="false">IFERROR(__xludf.dummyfunction("""COMPUTED_VALUE"""),"-")</f>
        <v>-</v>
      </c>
      <c r="AB17" s="49" t="str">
        <f aca="false">IFERROR(__xludf.dummyfunction("""COMPUTED_VALUE"""),"-")</f>
        <v>-</v>
      </c>
    </row>
    <row r="18" customFormat="false" ht="15.75" hidden="false" customHeight="false" outlineLevel="0" collapsed="false">
      <c r="A18" s="5" t="str">
        <f aca="false">IF(NOT(ISBLANK(B18)), ROW()-2,"")</f>
        <v/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" t="str">
        <f aca="false">IF(NOT(ISBLANK(P18)), ROW()-2,"")</f>
        <v/>
      </c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customFormat="false" ht="15.75" hidden="false" customHeight="false" outlineLevel="0" collapsed="false">
      <c r="A19" s="5" t="str">
        <f aca="false">IF(NOT(ISBLANK(B19)), ROW()-2,"")</f>
        <v/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" t="str">
        <f aca="false">IF(NOT(ISBLANK(P19)), ROW()-2,"")</f>
        <v/>
      </c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customFormat="false" ht="15.75" hidden="false" customHeight="false" outlineLevel="0" collapsed="false">
      <c r="A20" s="5" t="str">
        <f aca="false">IF(NOT(ISBLANK(B20)), ROW()-2,"")</f>
        <v/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" t="str">
        <f aca="false">IF(NOT(ISBLANK(P20)), ROW()-2,"")</f>
        <v/>
      </c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customFormat="false" ht="15.75" hidden="false" customHeight="false" outlineLevel="0" collapsed="false">
      <c r="A21" s="5" t="str">
        <f aca="false">IF(NOT(ISBLANK(B21)), ROW()-2,"")</f>
        <v/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5" t="str">
        <f aca="false">IF(NOT(ISBLANK(P21)), ROW()-2,"")</f>
        <v/>
      </c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customFormat="false" ht="15.75" hidden="false" customHeight="false" outlineLevel="0" collapsed="false">
      <c r="A22" s="5" t="str">
        <f aca="false">IF(NOT(ISBLANK(B22)), ROW()-2,"")</f>
        <v/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" t="str">
        <f aca="false">IF(NOT(ISBLANK(P22)), ROW()-2,"")</f>
        <v/>
      </c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customFormat="false" ht="15.75" hidden="false" customHeight="false" outlineLevel="0" collapsed="false">
      <c r="A23" s="5" t="str">
        <f aca="false">IF(NOT(ISBLANK(B23)), ROW()-2,"")</f>
        <v/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" t="str">
        <f aca="false">IF(NOT(ISBLANK(P23)), ROW()-2,"")</f>
        <v/>
      </c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customFormat="false" ht="15.75" hidden="false" customHeight="false" outlineLevel="0" collapsed="false">
      <c r="A24" s="5" t="str">
        <f aca="false">IF(NOT(ISBLANK(B24)), ROW()-2,"")</f>
        <v/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" t="str">
        <f aca="false">IF(NOT(ISBLANK(P24)), ROW()-2,"")</f>
        <v/>
      </c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customFormat="false" ht="15.75" hidden="false" customHeight="false" outlineLevel="0" collapsed="false">
      <c r="A25" s="5" t="str">
        <f aca="false">IF(NOT(ISBLANK(B25)), ROW()-2,"")</f>
        <v/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" t="str">
        <f aca="false">IF(NOT(ISBLANK(P25)), ROW()-2,"")</f>
        <v/>
      </c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customFormat="false" ht="15.75" hidden="false" customHeight="false" outlineLevel="0" collapsed="false">
      <c r="A26" s="5" t="str">
        <f aca="false">IF(NOT(ISBLANK(B26)), ROW()-2,"")</f>
        <v/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5" t="str">
        <f aca="false">IF(NOT(ISBLANK(P26)), ROW()-2,"")</f>
        <v/>
      </c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customFormat="false" ht="15.75" hidden="false" customHeight="false" outlineLevel="0" collapsed="false">
      <c r="A27" s="5" t="str">
        <f aca="false">IF(NOT(ISBLANK(B27)), ROW()-2,"")</f>
        <v/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" t="str">
        <f aca="false">IF(NOT(ISBLANK(P27)), ROW()-2,"")</f>
        <v/>
      </c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customFormat="false" ht="15.75" hidden="false" customHeight="false" outlineLevel="0" collapsed="false">
      <c r="A28" s="5" t="str">
        <f aca="false">IF(NOT(ISBLANK(B28)), ROW()-2,"")</f>
        <v/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" t="str">
        <f aca="false">IF(NOT(ISBLANK(P28)), ROW()-2,"")</f>
        <v/>
      </c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customFormat="false" ht="15.75" hidden="false" customHeight="false" outlineLevel="0" collapsed="false">
      <c r="A29" s="5" t="str">
        <f aca="false">IF(NOT(ISBLANK(B29)), ROW()-2,"")</f>
        <v/>
      </c>
      <c r="O29" s="5" t="str">
        <f aca="false">IF(NOT(ISBLANK(P29)), ROW()-2,"")</f>
        <v/>
      </c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customFormat="false" ht="15.75" hidden="false" customHeight="false" outlineLevel="0" collapsed="false">
      <c r="A30" s="5" t="str">
        <f aca="false">IF(NOT(ISBLANK(B30)), ROW()-2,"")</f>
        <v/>
      </c>
      <c r="O30" s="5" t="str">
        <f aca="false">IF(NOT(ISBLANK(P30)), ROW()-2,"")</f>
        <v/>
      </c>
    </row>
    <row r="31" customFormat="false" ht="15.75" hidden="false" customHeight="false" outlineLevel="0" collapsed="false">
      <c r="A31" s="5" t="str">
        <f aca="false">IF(NOT(ISBLANK(B31)), ROW()-2,"")</f>
        <v/>
      </c>
      <c r="O31" s="5" t="str">
        <f aca="false">IF(NOT(ISBLANK(P31)), ROW()-2,"")</f>
        <v/>
      </c>
    </row>
    <row r="32" customFormat="false" ht="15.75" hidden="false" customHeight="false" outlineLevel="0" collapsed="false">
      <c r="A32" s="5" t="str">
        <f aca="false">IF(NOT(ISBLANK(B32)), ROW()-2,"")</f>
        <v/>
      </c>
      <c r="O32" s="5" t="str">
        <f aca="false">IF(NOT(ISBLANK(P32)), ROW()-2,"")</f>
        <v/>
      </c>
    </row>
    <row r="33" customFormat="false" ht="15.75" hidden="false" customHeight="false" outlineLevel="0" collapsed="false">
      <c r="A33" s="5" t="str">
        <f aca="false">IF(NOT(ISBLANK(B33)), ROW()-2,"")</f>
        <v/>
      </c>
      <c r="O33" s="5" t="str">
        <f aca="false">IF(NOT(ISBLANK(P33)), ROW()-2,"")</f>
        <v/>
      </c>
    </row>
    <row r="34" customFormat="false" ht="15.75" hidden="false" customHeight="false" outlineLevel="0" collapsed="false">
      <c r="A34" s="5" t="str">
        <f aca="false">IF(NOT(ISBLANK(B34)), ROW()-2,"")</f>
        <v/>
      </c>
      <c r="O34" s="5" t="str">
        <f aca="false">IF(NOT(ISBLANK(P34)), ROW()-2,"")</f>
        <v/>
      </c>
    </row>
    <row r="35" customFormat="false" ht="15.75" hidden="false" customHeight="false" outlineLevel="0" collapsed="false">
      <c r="A35" s="5" t="str">
        <f aca="false">IF(NOT(ISBLANK(B35)), ROW()-2,"")</f>
        <v/>
      </c>
      <c r="O35" s="5" t="str">
        <f aca="false">IF(NOT(ISBLANK(P35)), ROW()-2,"")</f>
        <v/>
      </c>
    </row>
    <row r="36" customFormat="false" ht="15.75" hidden="false" customHeight="false" outlineLevel="0" collapsed="false">
      <c r="A36" s="5" t="str">
        <f aca="false">IF(NOT(ISBLANK(B36)), ROW()-2,"")</f>
        <v/>
      </c>
      <c r="O36" s="4" t="s">
        <v>265</v>
      </c>
      <c r="Q36" s="4"/>
      <c r="R36" s="4"/>
    </row>
    <row r="37" customFormat="false" ht="15.75" hidden="false" customHeight="false" outlineLevel="0" collapsed="false">
      <c r="A37" s="5" t="str">
        <f aca="false">IF(NOT(ISBLANK(B37)), ROW()-2,"")</f>
        <v/>
      </c>
    </row>
    <row r="38" customFormat="false" ht="15.75" hidden="false" customHeight="false" outlineLevel="0" collapsed="false">
      <c r="A38" s="5" t="str">
        <f aca="false">IF(NOT(ISBLANK(B38)), ROW()-2,"")</f>
        <v/>
      </c>
    </row>
    <row r="39" customFormat="false" ht="15.75" hidden="false" customHeight="false" outlineLevel="0" collapsed="false">
      <c r="A39" s="5" t="str">
        <f aca="false">IF(NOT(ISBLANK(B39)), ROW()-2,"")</f>
        <v/>
      </c>
    </row>
    <row r="40" customFormat="false" ht="15.75" hidden="false" customHeight="false" outlineLevel="0" collapsed="false">
      <c r="A40" s="5" t="str">
        <f aca="false">IF(NOT(ISBLANK(B40)), ROW()-2,"")</f>
        <v/>
      </c>
    </row>
    <row r="41" customFormat="false" ht="15.75" hidden="false" customHeight="false" outlineLevel="0" collapsed="false">
      <c r="A41" s="5" t="str">
        <f aca="false">IF(NOT(ISBLANK(B41)), ROW()-2,"")</f>
        <v/>
      </c>
    </row>
    <row r="42" customFormat="false" ht="15.75" hidden="false" customHeight="false" outlineLevel="0" collapsed="false">
      <c r="A42" s="5" t="str">
        <f aca="false">IF(NOT(ISBLANK(B42)), ROW()-2,"")</f>
        <v/>
      </c>
    </row>
    <row r="43" customFormat="false" ht="15.75" hidden="false" customHeight="false" outlineLevel="0" collapsed="false">
      <c r="A43" s="5" t="str">
        <f aca="false">IF(NOT(ISBLANK(B43)), ROW()-2,"")</f>
        <v/>
      </c>
    </row>
    <row r="44" customFormat="false" ht="15.75" hidden="false" customHeight="false" outlineLevel="0" collapsed="false">
      <c r="A44" s="5" t="str">
        <f aca="false">IF(NOT(ISBLANK(B44)), ROW()-2,"")</f>
        <v/>
      </c>
    </row>
    <row r="45" customFormat="false" ht="15.75" hidden="false" customHeight="false" outlineLevel="0" collapsed="false">
      <c r="A45" s="5" t="str">
        <f aca="false">IF(NOT(ISBLANK(B45)), ROW()-2,"")</f>
        <v/>
      </c>
    </row>
    <row r="46" customFormat="false" ht="15.75" hidden="false" customHeight="false" outlineLevel="0" collapsed="false">
      <c r="A46" s="5" t="str">
        <f aca="false">IF(NOT(ISBLANK(B46)), ROW()-2,"")</f>
        <v/>
      </c>
    </row>
    <row r="47" customFormat="false" ht="15.75" hidden="false" customHeight="false" outlineLevel="0" collapsed="false">
      <c r="A47" s="5" t="str">
        <f aca="false">IF(NOT(ISBLANK(B47)), ROW()-2,"")</f>
        <v/>
      </c>
    </row>
    <row r="48" customFormat="false" ht="15.75" hidden="false" customHeight="false" outlineLevel="0" collapsed="false">
      <c r="A48" s="5" t="str">
        <f aca="false">IF(NOT(ISBLANK(B48)), ROW()-2,"")</f>
        <v/>
      </c>
    </row>
    <row r="49" customFormat="false" ht="15.75" hidden="false" customHeight="false" outlineLevel="0" collapsed="false">
      <c r="A49" s="5" t="str">
        <f aca="false">IF(NOT(ISBLANK(B49)), ROW()-2,"")</f>
        <v/>
      </c>
    </row>
    <row r="50" customFormat="false" ht="15.75" hidden="false" customHeight="false" outlineLevel="0" collapsed="false">
      <c r="A50" s="5" t="str">
        <f aca="false">IF(NOT(ISBLANK(B50)), ROW()-2,"")</f>
        <v/>
      </c>
    </row>
  </sheetData>
  <mergeCells count="11">
    <mergeCell ref="A1:C1"/>
    <mergeCell ref="E1:F1"/>
    <mergeCell ref="G1:H1"/>
    <mergeCell ref="I1:J1"/>
    <mergeCell ref="K1:L1"/>
    <mergeCell ref="M1:N1"/>
    <mergeCell ref="S1:T1"/>
    <mergeCell ref="U1:V1"/>
    <mergeCell ref="W1:X1"/>
    <mergeCell ref="Y1:Z1"/>
    <mergeCell ref="AA1:AB1"/>
  </mergeCells>
  <dataValidations count="1">
    <dataValidation allowBlank="true" errorStyle="stop" operator="between" showDropDown="false" showErrorMessage="true" showInputMessage="false" sqref="A1" type="list">
      <formula1>'Переформатированный ответ'!$N$2:$N$11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4" min="4" style="0" width="7.14"/>
    <col collapsed="false" customWidth="true" hidden="false" outlineLevel="0" max="14" min="5" style="0" width="7.29"/>
  </cols>
  <sheetData>
    <row r="1" customFormat="false" ht="15.75" hidden="false" customHeight="false" outlineLevel="0" collapsed="false">
      <c r="B1" s="0" t="s">
        <v>30</v>
      </c>
      <c r="C1" s="50"/>
      <c r="E1" s="15" t="n">
        <v>42929</v>
      </c>
      <c r="F1" s="15"/>
      <c r="G1" s="15" t="n">
        <v>42930</v>
      </c>
      <c r="H1" s="15"/>
      <c r="I1" s="15" t="n">
        <v>42932</v>
      </c>
      <c r="J1" s="15"/>
      <c r="K1" s="15" t="n">
        <v>42933</v>
      </c>
      <c r="L1" s="15"/>
      <c r="M1" s="15" t="n">
        <v>42934</v>
      </c>
      <c r="N1" s="15"/>
    </row>
    <row r="2" customFormat="false" ht="15.75" hidden="false" customHeight="false" outlineLevel="0" collapsed="false">
      <c r="B2" s="0" t="s">
        <v>4</v>
      </c>
      <c r="C2" s="50" t="s">
        <v>5</v>
      </c>
      <c r="D2" s="0" t="s">
        <v>6</v>
      </c>
      <c r="E2" s="4" t="n">
        <v>1</v>
      </c>
      <c r="F2" s="4" t="n">
        <v>2</v>
      </c>
      <c r="G2" s="4" t="n">
        <v>1</v>
      </c>
      <c r="H2" s="4" t="n">
        <v>2</v>
      </c>
      <c r="I2" s="4" t="n">
        <v>1</v>
      </c>
      <c r="J2" s="4" t="n">
        <v>2</v>
      </c>
      <c r="K2" s="4" t="n">
        <v>1</v>
      </c>
      <c r="L2" s="4" t="n">
        <v>2</v>
      </c>
      <c r="M2" s="4" t="n">
        <v>1</v>
      </c>
      <c r="N2" s="4" t="n">
        <v>2</v>
      </c>
    </row>
    <row r="3" customFormat="false" ht="15.75" hidden="false" customHeight="false" outlineLevel="0" collapsed="false">
      <c r="A3" s="4" t="n">
        <v>1</v>
      </c>
      <c r="B3" s="0" t="s">
        <v>104</v>
      </c>
      <c r="C3" s="50" t="s">
        <v>105</v>
      </c>
      <c r="D3" s="0" t="n">
        <v>10</v>
      </c>
    </row>
    <row r="4" customFormat="false" ht="15.75" hidden="false" customHeight="false" outlineLevel="0" collapsed="false">
      <c r="A4" s="4" t="n">
        <v>2</v>
      </c>
      <c r="B4" s="0" t="s">
        <v>171</v>
      </c>
      <c r="C4" s="0" t="s">
        <v>90</v>
      </c>
      <c r="D4" s="0" t="n">
        <v>10</v>
      </c>
    </row>
    <row r="5" customFormat="false" ht="15.75" hidden="false" customHeight="false" outlineLevel="0" collapsed="false">
      <c r="A5" s="4" t="n">
        <v>3</v>
      </c>
      <c r="B5" s="0" t="s">
        <v>185</v>
      </c>
      <c r="C5" s="0" t="s">
        <v>186</v>
      </c>
      <c r="D5" s="0" t="n">
        <v>9</v>
      </c>
    </row>
    <row r="6" customFormat="false" ht="15.75" hidden="false" customHeight="false" outlineLevel="0" collapsed="false">
      <c r="A6" s="4" t="n">
        <v>4</v>
      </c>
      <c r="B6" s="0" t="s">
        <v>189</v>
      </c>
      <c r="C6" s="50" t="s">
        <v>190</v>
      </c>
      <c r="D6" s="0" t="n">
        <v>9</v>
      </c>
    </row>
    <row r="7" customFormat="false" ht="15.75" hidden="false" customHeight="false" outlineLevel="0" collapsed="false">
      <c r="A7" s="4" t="n">
        <v>5</v>
      </c>
      <c r="B7" s="0" t="s">
        <v>236</v>
      </c>
      <c r="C7" s="50" t="s">
        <v>237</v>
      </c>
      <c r="D7" s="0" t="n">
        <v>10</v>
      </c>
    </row>
    <row r="8" customFormat="false" ht="15.75" hidden="false" customHeight="false" outlineLevel="0" collapsed="false">
      <c r="A8" s="4" t="n">
        <v>6</v>
      </c>
      <c r="B8" s="0" t="s">
        <v>245</v>
      </c>
      <c r="C8" s="0" t="s">
        <v>246</v>
      </c>
      <c r="D8" s="0" t="n">
        <v>9</v>
      </c>
    </row>
    <row r="9" customFormat="false" ht="15.75" hidden="false" customHeight="false" outlineLevel="0" collapsed="false">
      <c r="A9" s="4" t="n">
        <v>7</v>
      </c>
      <c r="B9" s="0" t="s">
        <v>286</v>
      </c>
      <c r="C9" s="50" t="s">
        <v>280</v>
      </c>
      <c r="D9" s="0" t="n">
        <v>11</v>
      </c>
    </row>
    <row r="10" customFormat="false" ht="15.75" hidden="false" customHeight="false" outlineLevel="0" collapsed="false">
      <c r="A10" s="4" t="n">
        <v>8</v>
      </c>
      <c r="B10" s="0" t="s">
        <v>348</v>
      </c>
      <c r="C10" s="50" t="s">
        <v>349</v>
      </c>
      <c r="D10" s="0" t="n">
        <v>7</v>
      </c>
    </row>
    <row r="11" customFormat="false" ht="15.75" hidden="false" customHeight="false" outlineLevel="0" collapsed="false">
      <c r="A11" s="4" t="n">
        <v>9</v>
      </c>
      <c r="B11" s="0" t="s">
        <v>371</v>
      </c>
      <c r="C11" s="50" t="s">
        <v>154</v>
      </c>
      <c r="D11" s="0" t="n">
        <v>9</v>
      </c>
    </row>
    <row r="12" customFormat="false" ht="15.75" hidden="false" customHeight="false" outlineLevel="0" collapsed="false">
      <c r="A12" s="4" t="n">
        <v>10</v>
      </c>
      <c r="B12" s="0" t="s">
        <v>375</v>
      </c>
      <c r="C12" s="50" t="s">
        <v>376</v>
      </c>
      <c r="D12" s="0" t="n">
        <v>7</v>
      </c>
    </row>
    <row r="13" customFormat="false" ht="15.75" hidden="false" customHeight="false" outlineLevel="0" collapsed="false">
      <c r="A13" s="4" t="n">
        <v>11</v>
      </c>
      <c r="B13" s="0" t="s">
        <v>379</v>
      </c>
      <c r="C13" s="50" t="s">
        <v>159</v>
      </c>
      <c r="D13" s="50" t="n">
        <v>7</v>
      </c>
    </row>
    <row r="14" customFormat="false" ht="15.75" hidden="false" customHeight="false" outlineLevel="0" collapsed="false">
      <c r="A14" s="4" t="n">
        <v>12</v>
      </c>
      <c r="B14" s="0" t="s">
        <v>404</v>
      </c>
      <c r="C14" s="0" t="s">
        <v>405</v>
      </c>
      <c r="D14" s="0" t="n">
        <v>10</v>
      </c>
    </row>
    <row r="15" customFormat="false" ht="15.75" hidden="false" customHeight="false" outlineLevel="0" collapsed="false">
      <c r="A15" s="4" t="n">
        <v>13</v>
      </c>
      <c r="B15" s="0" t="s">
        <v>408</v>
      </c>
      <c r="C15" s="0" t="s">
        <v>75</v>
      </c>
      <c r="D15" s="0" t="n">
        <v>7</v>
      </c>
    </row>
    <row r="16" customFormat="false" ht="15.75" hidden="false" customHeight="false" outlineLevel="0" collapsed="false">
      <c r="A16" s="4" t="n">
        <v>14</v>
      </c>
      <c r="B16" s="0" t="s">
        <v>432</v>
      </c>
      <c r="C16" s="0" t="s">
        <v>142</v>
      </c>
      <c r="D16" s="0" t="n">
        <v>7</v>
      </c>
    </row>
    <row r="17" customFormat="false" ht="15.75" hidden="false" customHeight="false" outlineLevel="0" collapsed="false">
      <c r="A17" s="4" t="n">
        <v>15</v>
      </c>
      <c r="B17" s="0" t="s">
        <v>446</v>
      </c>
      <c r="C17" s="0" t="s">
        <v>164</v>
      </c>
      <c r="D17" s="0" t="n">
        <v>9</v>
      </c>
    </row>
    <row r="18" customFormat="false" ht="15.75" hidden="false" customHeight="false" outlineLevel="0" collapsed="false">
      <c r="A18" s="4" t="n">
        <v>16</v>
      </c>
      <c r="B18" s="0" t="s">
        <v>483</v>
      </c>
      <c r="C18" s="0" t="s">
        <v>354</v>
      </c>
      <c r="D18" s="0" t="n">
        <v>8</v>
      </c>
    </row>
    <row r="19" customFormat="false" ht="15.75" hidden="false" customHeight="false" outlineLevel="0" collapsed="false">
      <c r="A19" s="4" t="n">
        <v>17</v>
      </c>
    </row>
    <row r="20" customFormat="false" ht="15.75" hidden="false" customHeight="false" outlineLevel="0" collapsed="false">
      <c r="A20" s="4" t="n">
        <v>18</v>
      </c>
    </row>
    <row r="21" customFormat="false" ht="15.75" hidden="false" customHeight="false" outlineLevel="0" collapsed="false">
      <c r="A21" s="4" t="n">
        <v>19</v>
      </c>
    </row>
  </sheetData>
  <mergeCells count="5">
    <mergeCell ref="E1:F1"/>
    <mergeCell ref="G1:H1"/>
    <mergeCell ref="I1:J1"/>
    <mergeCell ref="K1:L1"/>
    <mergeCell ref="M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30" min="11" style="0" width="4.43"/>
  </cols>
  <sheetData>
    <row r="1" customFormat="false" ht="15.75" hidden="false" customHeight="false" outlineLevel="0" collapsed="false">
      <c r="A1" s="4" t="s">
        <v>589</v>
      </c>
      <c r="D1" s="4" t="s">
        <v>590</v>
      </c>
    </row>
    <row r="2" customFormat="false" ht="15.75" hidden="false" customHeight="false" outlineLevel="0" collapsed="false">
      <c r="A2" s="4" t="n">
        <v>0</v>
      </c>
      <c r="B2" s="0" t="n">
        <f aca="false">COUNTIF('Переформатированный ответ'!$AK$2:$AK$200,A2)</f>
        <v>18</v>
      </c>
      <c r="D2" s="4" t="n">
        <v>0</v>
      </c>
      <c r="E2" s="0" t="n">
        <f aca="false">COUNTIF('Переформатированный ответ'!$AL$2:$AL$200,D2)</f>
        <v>25</v>
      </c>
    </row>
    <row r="3" customFormat="false" ht="15.75" hidden="false" customHeight="false" outlineLevel="0" collapsed="false">
      <c r="A3" s="4" t="n">
        <v>1</v>
      </c>
      <c r="B3" s="0" t="n">
        <f aca="false">COUNTIF('Переформатированный ответ'!$AK$2:$AK$200,A3)</f>
        <v>1</v>
      </c>
      <c r="D3" s="4" t="n">
        <v>1</v>
      </c>
      <c r="E3" s="0" t="n">
        <f aca="false">COUNTIF('Переформатированный ответ'!$AL$2:$AL$200,D3)</f>
        <v>0</v>
      </c>
    </row>
    <row r="4" customFormat="false" ht="15.75" hidden="false" customHeight="false" outlineLevel="0" collapsed="false">
      <c r="A4" s="4" t="n">
        <v>2</v>
      </c>
      <c r="B4" s="0" t="n">
        <f aca="false">COUNTIF('Переформатированный ответ'!$AK$2:$AK$200,A4)</f>
        <v>5</v>
      </c>
      <c r="D4" s="4" t="n">
        <v>2</v>
      </c>
      <c r="E4" s="0" t="n">
        <f aca="false">COUNTIF('Переформатированный ответ'!$AL$2:$AL$200,D4)</f>
        <v>4</v>
      </c>
    </row>
    <row r="5" customFormat="false" ht="15.75" hidden="false" customHeight="false" outlineLevel="0" collapsed="false">
      <c r="A5" s="4" t="n">
        <v>3</v>
      </c>
      <c r="B5" s="0" t="n">
        <f aca="false">COUNTIF('Переформатированный ответ'!$AK$2:$AK$200,A5)</f>
        <v>1</v>
      </c>
      <c r="D5" s="4" t="n">
        <v>3</v>
      </c>
      <c r="E5" s="0" t="n">
        <f aca="false">COUNTIF('Переформатированный ответ'!$AL$2:$AL$200,D5)</f>
        <v>1</v>
      </c>
    </row>
    <row r="6" customFormat="false" ht="15.75" hidden="false" customHeight="false" outlineLevel="0" collapsed="false">
      <c r="A6" s="4" t="n">
        <v>4</v>
      </c>
      <c r="B6" s="0" t="n">
        <f aca="false">COUNTIF('Переформатированный ответ'!$AK$2:$AK$200,A6)</f>
        <v>8</v>
      </c>
      <c r="D6" s="4" t="n">
        <v>4</v>
      </c>
      <c r="E6" s="0" t="n">
        <f aca="false">COUNTIF('Переформатированный ответ'!$AL$2:$AL$200,D6)</f>
        <v>5</v>
      </c>
    </row>
    <row r="7" customFormat="false" ht="15.75" hidden="false" customHeight="false" outlineLevel="0" collapsed="false">
      <c r="A7" s="4" t="n">
        <v>5</v>
      </c>
      <c r="B7" s="0" t="n">
        <f aca="false">COUNTIF('Переформатированный ответ'!$AK$2:$AK$200,A7)</f>
        <v>0</v>
      </c>
      <c r="D7" s="4" t="n">
        <v>5</v>
      </c>
      <c r="E7" s="0" t="n">
        <f aca="false">COUNTIF('Переформатированный ответ'!$AL$2:$AL$200,D7)</f>
        <v>0</v>
      </c>
    </row>
    <row r="8" customFormat="false" ht="15.75" hidden="false" customHeight="false" outlineLevel="0" collapsed="false">
      <c r="A8" s="4" t="n">
        <v>6</v>
      </c>
      <c r="B8" s="0" t="n">
        <f aca="false">COUNTIF('Переформатированный ответ'!$AK$2:$AK$200,A8)</f>
        <v>4</v>
      </c>
      <c r="D8" s="4" t="n">
        <v>6</v>
      </c>
      <c r="E8" s="0" t="n">
        <f aca="false">COUNTIF('Переформатированный ответ'!$AL$2:$AL$200,D8)</f>
        <v>6</v>
      </c>
    </row>
    <row r="9" customFormat="false" ht="15.75" hidden="false" customHeight="false" outlineLevel="0" collapsed="false">
      <c r="A9" s="4" t="n">
        <v>7</v>
      </c>
      <c r="B9" s="0" t="n">
        <f aca="false">COUNTIF('Переформатированный ответ'!$AK$2:$AK$200,A9)</f>
        <v>0</v>
      </c>
      <c r="D9" s="4" t="n">
        <v>7</v>
      </c>
      <c r="E9" s="0" t="n">
        <f aca="false">COUNTIF('Переформатированный ответ'!$AL$2:$AL$200,D9)</f>
        <v>2</v>
      </c>
    </row>
    <row r="10" customFormat="false" ht="15.75" hidden="false" customHeight="false" outlineLevel="0" collapsed="false">
      <c r="A10" s="4" t="n">
        <v>8</v>
      </c>
      <c r="B10" s="0" t="n">
        <f aca="false">COUNTIF('Переформатированный ответ'!$AK$2:$AK$200,A10)</f>
        <v>14</v>
      </c>
      <c r="D10" s="4" t="n">
        <v>8</v>
      </c>
      <c r="E10" s="0" t="n">
        <f aca="false">COUNTIF('Переформатированный ответ'!$AL$2:$AL$200,D10)</f>
        <v>19</v>
      </c>
    </row>
    <row r="11" customFormat="false" ht="15.75" hidden="false" customHeight="false" outlineLevel="0" collapsed="false">
      <c r="A11" s="4" t="n">
        <v>9</v>
      </c>
      <c r="B11" s="0" t="n">
        <f aca="false">COUNTIF('Переформатированный ответ'!$AK$2:$AK$200,A11)</f>
        <v>2</v>
      </c>
      <c r="D11" s="4" t="n">
        <v>9</v>
      </c>
      <c r="E11" s="0" t="n">
        <f aca="false">COUNTIF('Переформатированный ответ'!$AL$2:$AL$200,D11)</f>
        <v>5</v>
      </c>
    </row>
    <row r="12" customFormat="false" ht="15.75" hidden="false" customHeight="false" outlineLevel="0" collapsed="false">
      <c r="A12" s="4" t="n">
        <v>10</v>
      </c>
      <c r="B12" s="0" t="n">
        <f aca="false">COUNTIF('Переформатированный ответ'!$AK$2:$AK$200,A12)</f>
        <v>59</v>
      </c>
      <c r="D12" s="4" t="n">
        <v>10</v>
      </c>
      <c r="E12" s="0" t="n">
        <f aca="false">COUNTIF('Переформатированный ответ'!$AL$2:$AL$200,D12)</f>
        <v>45</v>
      </c>
    </row>
    <row r="13" customFormat="false" ht="15.75" hidden="false" customHeight="false" outlineLevel="0" collapsed="false">
      <c r="B13" s="51" t="n">
        <f aca="false">SUM(B8:B12)</f>
        <v>79</v>
      </c>
      <c r="E13" s="51" t="n">
        <f aca="false">SUM(E8:E12)</f>
        <v>77</v>
      </c>
    </row>
    <row r="39" customFormat="false" ht="15.75" hidden="false" customHeight="false" outlineLevel="0" collapsed="false">
      <c r="A39" s="4" t="s">
        <v>591</v>
      </c>
      <c r="C39" s="4" t="n">
        <v>10</v>
      </c>
      <c r="K39" s="15" t="n">
        <v>42922</v>
      </c>
      <c r="L39" s="15"/>
      <c r="M39" s="15" t="n">
        <v>42923</v>
      </c>
      <c r="N39" s="15"/>
      <c r="O39" s="15" t="n">
        <v>42924</v>
      </c>
      <c r="P39" s="15"/>
      <c r="Q39" s="15" t="n">
        <v>42926</v>
      </c>
      <c r="R39" s="15"/>
      <c r="S39" s="15" t="n">
        <v>42927</v>
      </c>
      <c r="T39" s="15"/>
      <c r="U39" s="15" t="n">
        <v>42929</v>
      </c>
      <c r="V39" s="15"/>
      <c r="W39" s="15" t="n">
        <v>42930</v>
      </c>
      <c r="X39" s="15"/>
      <c r="Y39" s="15" t="n">
        <v>42932</v>
      </c>
      <c r="Z39" s="15"/>
      <c r="AA39" s="15" t="n">
        <v>42933</v>
      </c>
      <c r="AB39" s="15"/>
      <c r="AC39" s="15" t="n">
        <v>42934</v>
      </c>
      <c r="AD39" s="15"/>
    </row>
    <row r="40" customFormat="false" ht="15.75" hidden="false" customHeight="false" outlineLevel="0" collapsed="false">
      <c r="A40" s="5" t="n">
        <f aca="false">IF(NOT(ISBLANK(B40)), ROW()-39,"")</f>
        <v>1</v>
      </c>
      <c r="B40" s="0" t="str">
        <f aca="false">IFERROR(__xludf.dummyfunction("FILTER('Переформатированный ответ'!$B$2:$J$184,ARRAYFORMULA(((('Переформатированный ответ'!$AK$2:$AK$184+'Переформатированный ответ'!$AL$2:$AL$184) = C39)+('Переформатированный ответ'!$K$2:$K$184 &gt;-1)) = 2))"),"Терещенко")</f>
        <v>Терещенко</v>
      </c>
      <c r="C40" s="0" t="str">
        <f aca="false">IFERROR(__xludf.dummyfunction("""COMPUTED_VALUE"""),"Алексей")</f>
        <v>Алексей</v>
      </c>
      <c r="D40" s="0" t="n">
        <f aca="false">IFERROR(__xludf.dummyfunction("""COMPUTED_VALUE"""),9)</f>
        <v>9</v>
      </c>
      <c r="E40" s="7" t="str">
        <f aca="false">IFERROR(__xludf.dummyfunction("""COMPUTED_VALUE"""),"БОУ ОО ""МОЦРО №117"" ")</f>
        <v>БОУ ОО "МОЦРО №117"</v>
      </c>
      <c r="G40" s="8" t="str">
        <f aca="false">IFERROR(__xludf.dummyfunction("""COMPUTED_VALUE"""),"https://vk.com/id243002488")</f>
        <v>https://vk.com/id243002488</v>
      </c>
      <c r="H40" s="0" t="str">
        <f aca="false">IFERROR(__xludf.dummyfunction("""COMPUTED_VALUE"""),"leha.tarin@mail.ru")</f>
        <v>leha.tarin@mail.ru</v>
      </c>
      <c r="I40" s="0" t="str">
        <f aca="false">IFERROR(__xludf.dummyfunction("""COMPUTED_VALUE"""),"Физика(Рутберг)")</f>
        <v>Физика(Рутберг)</v>
      </c>
      <c r="J40" s="0" t="str">
        <f aca="false">IFERROR(__xludf.dummyfunction("""COMPUTED_VALUE"""),"Испанский")</f>
        <v>Испанский</v>
      </c>
      <c r="K40" s="0" t="str">
        <f aca="false">IFERROR(__xludf.dummyfunction("FILTER('Переформатированный ответ'!$Q$2:$AJ$184,ARRAYFORMULA(((('Переформатированный ответ'!$AK$2:$AK$184+'Переформатированный ответ'!$AL$2:$AL$184) = C39)+('Переформатированный ответ'!$K$2:$K$184 &gt;-1)) = 2))"),"-")</f>
        <v>-</v>
      </c>
      <c r="L40" s="0" t="str">
        <f aca="false">IFERROR(__xludf.dummyfunction("""COMPUTED_VALUE"""),"-")</f>
        <v>-</v>
      </c>
      <c r="M40" s="0" t="str">
        <f aca="false">IFERROR(__xludf.dummyfunction("""COMPUTED_VALUE"""),"+")</f>
        <v>+</v>
      </c>
      <c r="N40" s="0" t="str">
        <f aca="false">IFERROR(__xludf.dummyfunction("""COMPUTED_VALUE"""),"+")</f>
        <v>+</v>
      </c>
      <c r="O40" s="0" t="str">
        <f aca="false">IFERROR(__xludf.dummyfunction("""COMPUTED_VALUE"""),"-")</f>
        <v>-</v>
      </c>
      <c r="P40" s="0" t="str">
        <f aca="false">IFERROR(__xludf.dummyfunction("""COMPUTED_VALUE"""),"-")</f>
        <v>-</v>
      </c>
      <c r="Q40" s="0" t="str">
        <f aca="false">IFERROR(__xludf.dummyfunction("""COMPUTED_VALUE"""),"-")</f>
        <v>-</v>
      </c>
      <c r="R40" s="0" t="str">
        <f aca="false">IFERROR(__xludf.dummyfunction("""COMPUTED_VALUE"""),"-")</f>
        <v>-</v>
      </c>
      <c r="S40" s="0" t="str">
        <f aca="false">IFERROR(__xludf.dummyfunction("""COMPUTED_VALUE"""),"-")</f>
        <v>-</v>
      </c>
      <c r="T40" s="0" t="str">
        <f aca="false">IFERROR(__xludf.dummyfunction("""COMPUTED_VALUE"""),"-")</f>
        <v>-</v>
      </c>
      <c r="W40" s="0" t="str">
        <f aca="false">IFERROR(__xludf.dummyfunction("""COMPUTED_VALUE"""),"+")</f>
        <v>+</v>
      </c>
      <c r="X40" s="0" t="str">
        <f aca="false">IFERROR(__xludf.dummyfunction("""COMPUTED_VALUE"""),"+")</f>
        <v>+</v>
      </c>
      <c r="Y40" s="0" t="str">
        <f aca="false">IFERROR(__xludf.dummyfunction("""COMPUTED_VALUE"""),"+")</f>
        <v>+</v>
      </c>
      <c r="Z40" s="0" t="str">
        <f aca="false">IFERROR(__xludf.dummyfunction("""COMPUTED_VALUE"""),"+")</f>
        <v>+</v>
      </c>
      <c r="AA40" s="0" t="str">
        <f aca="false">IFERROR(__xludf.dummyfunction("""COMPUTED_VALUE"""),"+")</f>
        <v>+</v>
      </c>
      <c r="AB40" s="0" t="str">
        <f aca="false">IFERROR(__xludf.dummyfunction("""COMPUTED_VALUE"""),"+")</f>
        <v>+</v>
      </c>
      <c r="AC40" s="0" t="str">
        <f aca="false">IFERROR(__xludf.dummyfunction("""COMPUTED_VALUE"""),"+")</f>
        <v>+</v>
      </c>
      <c r="AD40" s="0" t="str">
        <f aca="false">IFERROR(__xludf.dummyfunction("""COMPUTED_VALUE"""),"+")</f>
        <v>+</v>
      </c>
    </row>
    <row r="41" customFormat="false" ht="15.75" hidden="false" customHeight="false" outlineLevel="0" collapsed="false">
      <c r="A41" s="5" t="n">
        <f aca="false">IF(NOT(ISBLANK(B41)), ROW()-39,"")</f>
        <v>2</v>
      </c>
      <c r="B41" s="0" t="str">
        <f aca="false">IFERROR(__xludf.dummyfunction("""COMPUTED_VALUE"""),"Белозерова")</f>
        <v>Белозерова</v>
      </c>
      <c r="C41" s="0" t="str">
        <f aca="false">IFERROR(__xludf.dummyfunction("""COMPUTED_VALUE"""),"Ольга")</f>
        <v>Ольга</v>
      </c>
      <c r="D41" s="0" t="n">
        <f aca="false">IFERROR(__xludf.dummyfunction("""COMPUTED_VALUE"""),9)</f>
        <v>9</v>
      </c>
      <c r="E41" s="7" t="str">
        <f aca="false">IFERROR(__xludf.dummyfunction("""COMPUTED_VALUE"""),"117")</f>
        <v>117</v>
      </c>
      <c r="G41" s="8" t="str">
        <f aca="false">IFERROR(__xludf.dummyfunction("""COMPUTED_VALUE"""),"vk.com/obeloz")</f>
        <v>vk.com/obeloz</v>
      </c>
      <c r="H41" s="0" t="str">
        <f aca="false">IFERROR(__xludf.dummyfunction("""COMPUTED_VALUE"""),"Basyanet@gmail.com")</f>
        <v>Basyanet@gmail.com</v>
      </c>
      <c r="I41" s="0" t="str">
        <f aca="false">IFERROR(__xludf.dummyfunction("""COMPUTED_VALUE"""),"Программирование(Свет)")</f>
        <v>Программирование(Свет)</v>
      </c>
      <c r="J41" s="0" t="str">
        <f aca="false">IFERROR(__xludf.dummyfunction("""COMPUTED_VALUE"""),"Физика(Шумаков)")</f>
        <v>Физика(Шумаков)</v>
      </c>
      <c r="K41" s="0" t="str">
        <f aca="false">IFERROR(__xludf.dummyfunction("""COMPUTED_VALUE"""),"+")</f>
        <v>+</v>
      </c>
      <c r="L41" s="0" t="str">
        <f aca="false">IFERROR(__xludf.dummyfunction("""COMPUTED_VALUE"""),"+")</f>
        <v>+</v>
      </c>
      <c r="M41" s="0" t="str">
        <f aca="false">IFERROR(__xludf.dummyfunction("""COMPUTED_VALUE"""),"+")</f>
        <v>+</v>
      </c>
      <c r="N41" s="0" t="str">
        <f aca="false">IFERROR(__xludf.dummyfunction("""COMPUTED_VALUE"""),"+")</f>
        <v>+</v>
      </c>
      <c r="O41" s="0" t="str">
        <f aca="false">IFERROR(__xludf.dummyfunction("""COMPUTED_VALUE"""),"+")</f>
        <v>+</v>
      </c>
      <c r="P41" s="0" t="str">
        <f aca="false">IFERROR(__xludf.dummyfunction("""COMPUTED_VALUE"""),"+")</f>
        <v>+</v>
      </c>
      <c r="Q41" s="0" t="str">
        <f aca="false">IFERROR(__xludf.dummyfunction("""COMPUTED_VALUE"""),"+")</f>
        <v>+</v>
      </c>
      <c r="R41" s="0" t="str">
        <f aca="false">IFERROR(__xludf.dummyfunction("""COMPUTED_VALUE"""),"+")</f>
        <v>+</v>
      </c>
      <c r="S41" s="0" t="str">
        <f aca="false">IFERROR(__xludf.dummyfunction("""COMPUTED_VALUE"""),"+")</f>
        <v>+</v>
      </c>
      <c r="T41" s="0" t="str">
        <f aca="false">IFERROR(__xludf.dummyfunction("""COMPUTED_VALUE"""),"+")</f>
        <v>+</v>
      </c>
      <c r="U41" s="0" t="str">
        <f aca="false">IFERROR(__xludf.dummyfunction("""COMPUTED_VALUE"""),"-")</f>
        <v>-</v>
      </c>
      <c r="V41" s="0" t="str">
        <f aca="false">IFERROR(__xludf.dummyfunction("""COMPUTED_VALUE"""),"-")</f>
        <v>-</v>
      </c>
      <c r="W41" s="0" t="str">
        <f aca="false">IFERROR(__xludf.dummyfunction("""COMPUTED_VALUE"""),"-")</f>
        <v>-</v>
      </c>
      <c r="X41" s="0" t="str">
        <f aca="false">IFERROR(__xludf.dummyfunction("""COMPUTED_VALUE"""),"-")</f>
        <v>-</v>
      </c>
      <c r="Y41" s="0" t="str">
        <f aca="false">IFERROR(__xludf.dummyfunction("""COMPUTED_VALUE"""),"-")</f>
        <v>-</v>
      </c>
      <c r="Z41" s="0" t="str">
        <f aca="false">IFERROR(__xludf.dummyfunction("""COMPUTED_VALUE"""),"-")</f>
        <v>-</v>
      </c>
      <c r="AA41" s="0" t="str">
        <f aca="false">IFERROR(__xludf.dummyfunction("""COMPUTED_VALUE"""),"-")</f>
        <v>-</v>
      </c>
      <c r="AB41" s="0" t="str">
        <f aca="false">IFERROR(__xludf.dummyfunction("""COMPUTED_VALUE"""),"-")</f>
        <v>-</v>
      </c>
      <c r="AC41" s="0" t="str">
        <f aca="false">IFERROR(__xludf.dummyfunction("""COMPUTED_VALUE"""),"-")</f>
        <v>-</v>
      </c>
      <c r="AD41" s="0" t="str">
        <f aca="false">IFERROR(__xludf.dummyfunction("""COMPUTED_VALUE"""),"-")</f>
        <v>-</v>
      </c>
    </row>
    <row r="42" customFormat="false" ht="15.75" hidden="false" customHeight="false" outlineLevel="0" collapsed="false">
      <c r="A42" s="5" t="n">
        <f aca="false">IF(NOT(ISBLANK(B42)), ROW()-39,"")</f>
        <v>3</v>
      </c>
      <c r="B42" s="0" t="str">
        <f aca="false">IFERROR(__xludf.dummyfunction("""COMPUTED_VALUE"""),"Киселев")</f>
        <v>Киселев</v>
      </c>
      <c r="C42" s="0" t="str">
        <f aca="false">IFERROR(__xludf.dummyfunction("""COMPUTED_VALUE"""),"Кирилл")</f>
        <v>Кирилл</v>
      </c>
      <c r="D42" s="0" t="n">
        <f aca="false">IFERROR(__xludf.dummyfunction("""COMPUTED_VALUE"""),8)</f>
        <v>8</v>
      </c>
      <c r="E42" s="7" t="str">
        <f aca="false">IFERROR(__xludf.dummyfunction("""COMPUTED_VALUE"""),"Лицей №149")</f>
        <v>Лицей №149</v>
      </c>
      <c r="F42" s="0" t="str">
        <f aca="false">IFERROR(__xludf.dummyfunction("""COMPUTED_VALUE"""),"Может быть только первую половину")</f>
        <v>Может быть только первую половину</v>
      </c>
      <c r="G42" s="8" t="str">
        <f aca="false">IFERROR(__xludf.dummyfunction("""COMPUTED_VALUE"""),"vk.com/fogo_f")</f>
        <v>vk.com/fogo_f</v>
      </c>
      <c r="H42" s="0" t="str">
        <f aca="false">IFERROR(__xludf.dummyfunction("""COMPUTED_VALUE"""),"Kirill_k2002@mail.ru")</f>
        <v>Kirill_k2002@mail.ru</v>
      </c>
      <c r="I42" s="0" t="str">
        <f aca="false">IFERROR(__xludf.dummyfunction("""COMPUTED_VALUE"""),"Программирование(Шульга)")</f>
        <v>Программирование(Шульга)</v>
      </c>
      <c r="K42" s="0" t="str">
        <f aca="false">IFERROR(__xludf.dummyfunction("""COMPUTED_VALUE"""),"+")</f>
        <v>+</v>
      </c>
      <c r="L42" s="0" t="str">
        <f aca="false">IFERROR(__xludf.dummyfunction("""COMPUTED_VALUE"""),"+")</f>
        <v>+</v>
      </c>
      <c r="M42" s="0" t="str">
        <f aca="false">IFERROR(__xludf.dummyfunction("""COMPUTED_VALUE"""),"+")</f>
        <v>+</v>
      </c>
      <c r="N42" s="0" t="str">
        <f aca="false">IFERROR(__xludf.dummyfunction("""COMPUTED_VALUE"""),"+")</f>
        <v>+</v>
      </c>
      <c r="O42" s="0" t="str">
        <f aca="false">IFERROR(__xludf.dummyfunction("""COMPUTED_VALUE"""),"+")</f>
        <v>+</v>
      </c>
      <c r="P42" s="0" t="str">
        <f aca="false">IFERROR(__xludf.dummyfunction("""COMPUTED_VALUE"""),"+")</f>
        <v>+</v>
      </c>
      <c r="Q42" s="0" t="str">
        <f aca="false">IFERROR(__xludf.dummyfunction("""COMPUTED_VALUE"""),"+")</f>
        <v>+</v>
      </c>
      <c r="R42" s="0" t="str">
        <f aca="false">IFERROR(__xludf.dummyfunction("""COMPUTED_VALUE"""),"+")</f>
        <v>+</v>
      </c>
      <c r="S42" s="0" t="str">
        <f aca="false">IFERROR(__xludf.dummyfunction("""COMPUTED_VALUE"""),"+")</f>
        <v>+</v>
      </c>
      <c r="T42" s="0" t="str">
        <f aca="false">IFERROR(__xludf.dummyfunction("""COMPUTED_VALUE"""),"+")</f>
        <v>+</v>
      </c>
    </row>
    <row r="43" customFormat="false" ht="15.75" hidden="false" customHeight="false" outlineLevel="0" collapsed="false">
      <c r="A43" s="5" t="n">
        <f aca="false">IF(NOT(ISBLANK(B43)), ROW()-39,"")</f>
        <v>4</v>
      </c>
      <c r="B43" s="0" t="str">
        <f aca="false">IFERROR(__xludf.dummyfunction("""COMPUTED_VALUE"""),"Гнедина")</f>
        <v>Гнедина</v>
      </c>
      <c r="C43" s="0" t="str">
        <f aca="false">IFERROR(__xludf.dummyfunction("""COMPUTED_VALUE"""),"Ксения")</f>
        <v>Ксения</v>
      </c>
      <c r="D43" s="0" t="n">
        <f aca="false">IFERROR(__xludf.dummyfunction("""COMPUTED_VALUE"""),7)</f>
        <v>7</v>
      </c>
      <c r="E43" s="7" t="str">
        <f aca="false">IFERROR(__xludf.dummyfunction("""COMPUTED_VALUE"""),"117")</f>
        <v>117</v>
      </c>
      <c r="G43" s="8" t="str">
        <f aca="false">IFERROR(__xludf.dummyfunction("""COMPUTED_VALUE"""),"vk.com/id377773056")</f>
        <v>vk.com/id377773056</v>
      </c>
      <c r="H43" s="0" t="str">
        <f aca="false">IFERROR(__xludf.dummyfunction("""COMPUTED_VALUE"""),"gnedina_03@mail.ru")</f>
        <v>gnedina_03@mail.ru</v>
      </c>
      <c r="I43" s="0" t="str">
        <f aca="false">IFERROR(__xludf.dummyfunction("""COMPUTED_VALUE"""),"Физика(Рутберг)")</f>
        <v>Физика(Рутберг)</v>
      </c>
      <c r="J43" s="0" t="str">
        <f aca="false">IFERROR(__xludf.dummyfunction("""COMPUTED_VALUE"""),"Испанский")</f>
        <v>Испанский</v>
      </c>
      <c r="K43" s="0" t="str">
        <f aca="false">IFERROR(__xludf.dummyfunction("""COMPUTED_VALUE"""),"+")</f>
        <v>+</v>
      </c>
      <c r="L43" s="0" t="str">
        <f aca="false">IFERROR(__xludf.dummyfunction("""COMPUTED_VALUE"""),"-")</f>
        <v>-</v>
      </c>
      <c r="M43" s="0" t="str">
        <f aca="false">IFERROR(__xludf.dummyfunction("""COMPUTED_VALUE"""),"-")</f>
        <v>-</v>
      </c>
      <c r="N43" s="0" t="str">
        <f aca="false">IFERROR(__xludf.dummyfunction("""COMPUTED_VALUE"""),"-")</f>
        <v>-</v>
      </c>
      <c r="O43" s="0" t="str">
        <f aca="false">IFERROR(__xludf.dummyfunction("""COMPUTED_VALUE"""),"-")</f>
        <v>-</v>
      </c>
      <c r="P43" s="0" t="str">
        <f aca="false">IFERROR(__xludf.dummyfunction("""COMPUTED_VALUE"""),"-")</f>
        <v>-</v>
      </c>
      <c r="Q43" s="0" t="str">
        <f aca="false">IFERROR(__xludf.dummyfunction("""COMPUTED_VALUE"""),"-")</f>
        <v>-</v>
      </c>
      <c r="R43" s="0" t="str">
        <f aca="false">IFERROR(__xludf.dummyfunction("""COMPUTED_VALUE"""),"-")</f>
        <v>-</v>
      </c>
      <c r="S43" s="0" t="str">
        <f aca="false">IFERROR(__xludf.dummyfunction("""COMPUTED_VALUE"""),"-")</f>
        <v>-</v>
      </c>
      <c r="T43" s="0" t="str">
        <f aca="false">IFERROR(__xludf.dummyfunction("""COMPUTED_VALUE"""),"-")</f>
        <v>-</v>
      </c>
      <c r="U43" s="0" t="str">
        <f aca="false">IFERROR(__xludf.dummyfunction("""COMPUTED_VALUE"""),"+")</f>
        <v>+</v>
      </c>
      <c r="V43" s="0" t="str">
        <f aca="false">IFERROR(__xludf.dummyfunction("""COMPUTED_VALUE"""),"+")</f>
        <v>+</v>
      </c>
      <c r="W43" s="0" t="str">
        <f aca="false">IFERROR(__xludf.dummyfunction("""COMPUTED_VALUE"""),"+")</f>
        <v>+</v>
      </c>
      <c r="X43" s="0" t="str">
        <f aca="false">IFERROR(__xludf.dummyfunction("""COMPUTED_VALUE"""),"+")</f>
        <v>+</v>
      </c>
      <c r="Y43" s="0" t="str">
        <f aca="false">IFERROR(__xludf.dummyfunction("""COMPUTED_VALUE"""),"-")</f>
        <v>-</v>
      </c>
      <c r="Z43" s="0" t="str">
        <f aca="false">IFERROR(__xludf.dummyfunction("""COMPUTED_VALUE"""),"+")</f>
        <v>+</v>
      </c>
      <c r="AA43" s="0" t="str">
        <f aca="false">IFERROR(__xludf.dummyfunction("""COMPUTED_VALUE"""),"+")</f>
        <v>+</v>
      </c>
      <c r="AB43" s="0" t="str">
        <f aca="false">IFERROR(__xludf.dummyfunction("""COMPUTED_VALUE"""),"+")</f>
        <v>+</v>
      </c>
      <c r="AC43" s="0" t="str">
        <f aca="false">IFERROR(__xludf.dummyfunction("""COMPUTED_VALUE"""),"+")</f>
        <v>+</v>
      </c>
      <c r="AD43" s="0" t="str">
        <f aca="false">IFERROR(__xludf.dummyfunction("""COMPUTED_VALUE"""),"+")</f>
        <v>+</v>
      </c>
    </row>
    <row r="44" customFormat="false" ht="15.75" hidden="false" customHeight="false" outlineLevel="0" collapsed="false">
      <c r="A44" s="5" t="str">
        <f aca="false">IF(NOT(ISBLANK(B44)), ROW()-39,"")</f>
        <v/>
      </c>
    </row>
    <row r="45" customFormat="false" ht="15.75" hidden="false" customHeight="false" outlineLevel="0" collapsed="false">
      <c r="A45" s="5" t="str">
        <f aca="false">IF(NOT(ISBLANK(B45)), ROW()-39,"")</f>
        <v/>
      </c>
    </row>
    <row r="46" customFormat="false" ht="15.75" hidden="false" customHeight="false" outlineLevel="0" collapsed="false">
      <c r="A46" s="5" t="str">
        <f aca="false">IF(NOT(ISBLANK(B46)), ROW()-39,"")</f>
        <v/>
      </c>
    </row>
    <row r="47" customFormat="false" ht="15.75" hidden="false" customHeight="false" outlineLevel="0" collapsed="false">
      <c r="A47" s="5" t="str">
        <f aca="false">IF(NOT(ISBLANK(B47)), ROW()-39,"")</f>
        <v/>
      </c>
    </row>
    <row r="48" customFormat="false" ht="15.75" hidden="false" customHeight="false" outlineLevel="0" collapsed="false">
      <c r="A48" s="5" t="str">
        <f aca="false">IF(NOT(ISBLANK(B48)), ROW()-39,"")</f>
        <v/>
      </c>
    </row>
    <row r="49" customFormat="false" ht="15.75" hidden="false" customHeight="false" outlineLevel="0" collapsed="false">
      <c r="A49" s="5" t="str">
        <f aca="false">IF(NOT(ISBLANK(B49)), ROW()-39,"")</f>
        <v/>
      </c>
    </row>
    <row r="50" customFormat="false" ht="15.75" hidden="false" customHeight="false" outlineLevel="0" collapsed="false">
      <c r="A50" s="5" t="str">
        <f aca="false">IF(NOT(ISBLANK(B50)), ROW()-39,"")</f>
        <v/>
      </c>
    </row>
    <row r="51" customFormat="false" ht="15.75" hidden="false" customHeight="false" outlineLevel="0" collapsed="false">
      <c r="A51" s="5" t="str">
        <f aca="false">IF(NOT(ISBLANK(B51)), ROW()-39,"")</f>
        <v/>
      </c>
    </row>
    <row r="52" customFormat="false" ht="15.75" hidden="false" customHeight="false" outlineLevel="0" collapsed="false">
      <c r="A52" s="5" t="str">
        <f aca="false">IF(NOT(ISBLANK(B52)), ROW()-39,"")</f>
        <v/>
      </c>
    </row>
    <row r="53" customFormat="false" ht="15.75" hidden="false" customHeight="false" outlineLevel="0" collapsed="false">
      <c r="A53" s="5" t="str">
        <f aca="false">IF(NOT(ISBLANK(B53)), ROW()-39,"")</f>
        <v/>
      </c>
    </row>
    <row r="54" customFormat="false" ht="15.75" hidden="false" customHeight="false" outlineLevel="0" collapsed="false">
      <c r="A54" s="5" t="str">
        <f aca="false">IF(NOT(ISBLANK(B54)), ROW()-39,"")</f>
        <v/>
      </c>
    </row>
    <row r="55" customFormat="false" ht="15.75" hidden="false" customHeight="false" outlineLevel="0" collapsed="false">
      <c r="A55" s="5" t="str">
        <f aca="false">IF(NOT(ISBLANK(B55)), ROW()-39,"")</f>
        <v/>
      </c>
    </row>
    <row r="56" customFormat="false" ht="15.75" hidden="false" customHeight="false" outlineLevel="0" collapsed="false">
      <c r="A56" s="5" t="str">
        <f aca="false">IF(NOT(ISBLANK(B56)), ROW()-39,"")</f>
        <v/>
      </c>
    </row>
    <row r="57" customFormat="false" ht="15.75" hidden="false" customHeight="false" outlineLevel="0" collapsed="false">
      <c r="A57" s="5" t="str">
        <f aca="false">IF(NOT(ISBLANK(B57)), ROW()-39,"")</f>
        <v/>
      </c>
    </row>
    <row r="58" customFormat="false" ht="15.75" hidden="false" customHeight="false" outlineLevel="0" collapsed="false">
      <c r="A58" s="5" t="str">
        <f aca="false">IF(NOT(ISBLANK(B58)), ROW()-39,"")</f>
        <v/>
      </c>
    </row>
    <row r="59" customFormat="false" ht="15.75" hidden="false" customHeight="false" outlineLevel="0" collapsed="false">
      <c r="A59" s="5" t="str">
        <f aca="false">IF(NOT(ISBLANK(B59)), ROW()-39,"")</f>
        <v/>
      </c>
    </row>
    <row r="60" customFormat="false" ht="15.75" hidden="false" customHeight="false" outlineLevel="0" collapsed="false">
      <c r="A60" s="5" t="str">
        <f aca="false">IF(NOT(ISBLANK(B60)), ROW()-39,"")</f>
        <v/>
      </c>
    </row>
    <row r="61" customFormat="false" ht="15.75" hidden="false" customHeight="false" outlineLevel="0" collapsed="false">
      <c r="A61" s="5" t="str">
        <f aca="false">IF(NOT(ISBLANK(B61)), ROW()-39,"")</f>
        <v/>
      </c>
    </row>
    <row r="62" customFormat="false" ht="15.75" hidden="false" customHeight="false" outlineLevel="0" collapsed="false">
      <c r="A62" s="5" t="str">
        <f aca="false">IF(NOT(ISBLANK(B62)), ROW()-39,"")</f>
        <v/>
      </c>
    </row>
    <row r="63" customFormat="false" ht="15.75" hidden="false" customHeight="false" outlineLevel="0" collapsed="false">
      <c r="A63" s="5" t="str">
        <f aca="false">IF(NOT(ISBLANK(B63)), ROW()-39,"")</f>
        <v/>
      </c>
    </row>
    <row r="64" customFormat="false" ht="15.75" hidden="false" customHeight="false" outlineLevel="0" collapsed="false">
      <c r="A64" s="5" t="str">
        <f aca="false">IF(NOT(ISBLANK(B64)), ROW()-39,"")</f>
        <v/>
      </c>
    </row>
    <row r="65" customFormat="false" ht="15.75" hidden="false" customHeight="false" outlineLevel="0" collapsed="false">
      <c r="A65" s="5" t="str">
        <f aca="false">IF(NOT(ISBLANK(B65)), ROW()-39,"")</f>
        <v/>
      </c>
    </row>
    <row r="66" customFormat="false" ht="15.75" hidden="false" customHeight="false" outlineLevel="0" collapsed="false">
      <c r="A66" s="5" t="str">
        <f aca="false">IF(NOT(ISBLANK(B66)), ROW()-39,"")</f>
        <v/>
      </c>
    </row>
    <row r="67" customFormat="false" ht="15.75" hidden="false" customHeight="false" outlineLevel="0" collapsed="false">
      <c r="A67" s="5" t="str">
        <f aca="false">IF(NOT(ISBLANK(B67)), ROW()-39,"")</f>
        <v/>
      </c>
    </row>
    <row r="68" customFormat="false" ht="15.75" hidden="false" customHeight="false" outlineLevel="0" collapsed="false">
      <c r="A68" s="5" t="str">
        <f aca="false">IF(NOT(ISBLANK(B68)), ROW()-39,"")</f>
        <v/>
      </c>
    </row>
    <row r="69" customFormat="false" ht="15.75" hidden="false" customHeight="false" outlineLevel="0" collapsed="false">
      <c r="A69" s="5" t="str">
        <f aca="false">IF(NOT(ISBLANK(B69)), ROW()-39,"")</f>
        <v/>
      </c>
    </row>
    <row r="70" customFormat="false" ht="15.75" hidden="false" customHeight="false" outlineLevel="0" collapsed="false">
      <c r="A70" s="5" t="str">
        <f aca="false">IF(NOT(ISBLANK(B70)), ROW()-39,"")</f>
        <v/>
      </c>
    </row>
    <row r="71" customFormat="false" ht="15.75" hidden="false" customHeight="false" outlineLevel="0" collapsed="false">
      <c r="A71" s="5" t="str">
        <f aca="false">IF(NOT(ISBLANK(B71)), ROW()-39,"")</f>
        <v/>
      </c>
    </row>
    <row r="72" customFormat="false" ht="15.75" hidden="false" customHeight="false" outlineLevel="0" collapsed="false">
      <c r="A72" s="5" t="str">
        <f aca="false">IF(NOT(ISBLANK(B72)), ROW()-39,"")</f>
        <v/>
      </c>
    </row>
    <row r="73" customFormat="false" ht="15.75" hidden="false" customHeight="false" outlineLevel="0" collapsed="false">
      <c r="A73" s="5" t="str">
        <f aca="false">IF(NOT(ISBLANK(B73)), ROW()-39,"")</f>
        <v/>
      </c>
    </row>
    <row r="74" customFormat="false" ht="15.75" hidden="false" customHeight="false" outlineLevel="0" collapsed="false">
      <c r="A74" s="5" t="str">
        <f aca="false">IF(NOT(ISBLANK(B74)), ROW()-39,"")</f>
        <v/>
      </c>
    </row>
    <row r="75" customFormat="false" ht="15.75" hidden="false" customHeight="false" outlineLevel="0" collapsed="false">
      <c r="A75" s="5" t="str">
        <f aca="false">IF(NOT(ISBLANK(B75)), ROW()-39,"")</f>
        <v/>
      </c>
    </row>
    <row r="76" customFormat="false" ht="15.75" hidden="false" customHeight="false" outlineLevel="0" collapsed="false">
      <c r="A76" s="5" t="str">
        <f aca="false">IF(NOT(ISBLANK(B76)), ROW()-39,"")</f>
        <v/>
      </c>
    </row>
    <row r="77" customFormat="false" ht="15.75" hidden="false" customHeight="false" outlineLevel="0" collapsed="false">
      <c r="A77" s="5" t="str">
        <f aca="false">IF(NOT(ISBLANK(B77)), ROW()-39,"")</f>
        <v/>
      </c>
    </row>
    <row r="78" customFormat="false" ht="15.75" hidden="false" customHeight="false" outlineLevel="0" collapsed="false">
      <c r="A78" s="5" t="str">
        <f aca="false">IF(NOT(ISBLANK(B78)), ROW()-39,"")</f>
        <v/>
      </c>
    </row>
    <row r="79" customFormat="false" ht="15.75" hidden="false" customHeight="false" outlineLevel="0" collapsed="false">
      <c r="A79" s="5" t="str">
        <f aca="false">IF(NOT(ISBLANK(B79)), ROW()-39,"")</f>
        <v/>
      </c>
    </row>
    <row r="80" customFormat="false" ht="15.75" hidden="false" customHeight="false" outlineLevel="0" collapsed="false">
      <c r="A80" s="5" t="str">
        <f aca="false">IF(NOT(ISBLANK(B80)), ROW()-39,"")</f>
        <v/>
      </c>
    </row>
    <row r="81" customFormat="false" ht="15.75" hidden="false" customHeight="false" outlineLevel="0" collapsed="false">
      <c r="A81" s="5" t="str">
        <f aca="false">IF(NOT(ISBLANK(B81)), ROW()-39,"")</f>
        <v/>
      </c>
    </row>
  </sheetData>
  <mergeCells count="10"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</mergeCells>
  <hyperlinks>
    <hyperlink ref="G40" r:id="rId1" display="https://vk.com/id243002488"/>
    <hyperlink ref="G41" r:id="rId2" display="http://vk.com/obeloz"/>
    <hyperlink ref="G42" r:id="rId3" display="http://vk.com/fogo_f"/>
    <hyperlink ref="G43" r:id="rId4" display="http://vk.com/id377773056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9.86"/>
    <col collapsed="false" customWidth="true" hidden="false" outlineLevel="0" max="5" min="5" style="0" width="16.71"/>
    <col collapsed="false" customWidth="true" hidden="false" outlineLevel="0" max="7" min="7" style="0" width="28.14"/>
    <col collapsed="false" customWidth="true" hidden="false" outlineLevel="0" max="8" min="8" style="0" width="44.71"/>
    <col collapsed="false" customWidth="true" hidden="false" outlineLevel="0" max="10" min="10" style="0" width="22.14"/>
    <col collapsed="false" customWidth="true" hidden="false" outlineLevel="0" max="11" min="11" style="0" width="25.43"/>
    <col collapsed="false" customWidth="true" hidden="false" outlineLevel="0" max="12" min="12" style="0" width="6.57"/>
  </cols>
  <sheetData>
    <row r="1" customFormat="false" ht="15.75" hidden="false" customHeight="false" outlineLevel="0" collapsed="false">
      <c r="A1" s="9" t="s">
        <v>0</v>
      </c>
    </row>
    <row r="2" customFormat="false" ht="15.75" hidden="false" customHeight="false" outlineLevel="0" collapsed="false">
      <c r="A2" s="10" t="s">
        <v>16</v>
      </c>
    </row>
    <row r="3" customFormat="false" ht="15.75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15</v>
      </c>
      <c r="I3" s="0" t="s">
        <v>10</v>
      </c>
      <c r="J3" s="4" t="s">
        <v>11</v>
      </c>
      <c r="K3" s="4" t="s">
        <v>12</v>
      </c>
      <c r="L3" s="4" t="s">
        <v>13</v>
      </c>
    </row>
    <row r="4" customFormat="false" ht="15.75" hidden="false" customHeight="false" outlineLevel="0" collapsed="false">
      <c r="A4" s="5" t="n">
        <v>1</v>
      </c>
      <c r="B4" s="6" t="n">
        <f aca="false">IFERROR(__xludf.dummyfunction("FILTER('Переформатированный ответ'!$A$2:$K$184,ARRAYFORMULA((('Переформатированный ответ'!$I$2:$I$184 = A2) + ('Переформатированный ответ'!$J$2:$J$184 = A2)&gt;0)+('Переформатированный ответ'!$K$2:$K$184 &gt;-1) = 2))"),42857.7200459606)</f>
        <v>42857.72005</v>
      </c>
      <c r="C4" s="0" t="str">
        <f aca="false">IFERROR(__xludf.dummyfunction("""COMPUTED_VALUE"""),"Анисимков")</f>
        <v>Анисимков</v>
      </c>
      <c r="D4" s="0" t="str">
        <f aca="false">IFERROR(__xludf.dummyfunction("""COMPUTED_VALUE"""),"Степан")</f>
        <v>Степан</v>
      </c>
      <c r="E4" s="0" t="n">
        <f aca="false">IFERROR(__xludf.dummyfunction("""COMPUTED_VALUE"""),9)</f>
        <v>9</v>
      </c>
      <c r="F4" s="7" t="str">
        <f aca="false">IFERROR(__xludf.dummyfunction("""COMPUTED_VALUE"""),"159")</f>
        <v>159</v>
      </c>
      <c r="H4" s="8" t="str">
        <f aca="false">IFERROR(__xludf.dummyfunction("""COMPUTED_VALUE"""),"vk.com/id293021806")</f>
        <v>vk.com/id293021806</v>
      </c>
      <c r="I4" s="0" t="str">
        <f aca="false">IFERROR(__xludf.dummyfunction("""COMPUTED_VALUE"""),"stepa100023@gmail.com")</f>
        <v>stepa100023@gmail.com</v>
      </c>
      <c r="J4" s="0" t="str">
        <f aca="false">IFERROR(__xludf.dummyfunction("""COMPUTED_VALUE"""),"Физика(Шумаков)")</f>
        <v>Физика(Шумаков)</v>
      </c>
      <c r="K4" s="0" t="str">
        <f aca="false">IFERROR(__xludf.dummyfunction("""COMPUTED_VALUE"""),"Математика(Строженко)")</f>
        <v>Математика(Строженко)</v>
      </c>
      <c r="L4" s="0" t="n">
        <f aca="false">IFERROR(__xludf.dummyfunction("""COMPUTED_VALUE"""),2)</f>
        <v>2</v>
      </c>
    </row>
    <row r="5" customFormat="false" ht="15.75" hidden="false" customHeight="false" outlineLevel="0" collapsed="false">
      <c r="A5" s="4" t="n">
        <v>2</v>
      </c>
      <c r="B5" s="6" t="n">
        <f aca="false">IFERROR(__xludf.dummyfunction("""COMPUTED_VALUE"""),42857.8258576389)</f>
        <v>42857.82586</v>
      </c>
      <c r="C5" s="0" t="str">
        <f aca="false">IFERROR(__xludf.dummyfunction("""COMPUTED_VALUE"""),"Прохоров")</f>
        <v>Прохоров</v>
      </c>
      <c r="D5" s="0" t="str">
        <f aca="false">IFERROR(__xludf.dummyfunction("""COMPUTED_VALUE"""),"Сергей")</f>
        <v>Сергей</v>
      </c>
      <c r="E5" s="0" t="n">
        <f aca="false">IFERROR(__xludf.dummyfunction("""COMPUTED_VALUE"""),7)</f>
        <v>7</v>
      </c>
      <c r="F5" s="7" t="str">
        <f aca="false">IFERROR(__xludf.dummyfunction("""COMPUTED_VALUE"""),"Гимназия 139")</f>
        <v>Гимназия 139</v>
      </c>
      <c r="H5" s="8" t="str">
        <f aca="false">IFERROR(__xludf.dummyfunction("""COMPUTED_VALUE"""),"vk.com/id326623716")</f>
        <v>vk.com/id326623716</v>
      </c>
      <c r="I5" s="0" t="str">
        <f aca="false">IFERROR(__xludf.dummyfunction("""COMPUTED_VALUE"""),"sergeypro@inbox.ru")</f>
        <v>sergeypro@inbox.ru</v>
      </c>
      <c r="J5" s="0" t="str">
        <f aca="false">IFERROR(__xludf.dummyfunction("""COMPUTED_VALUE"""),"Программирование(Свет)")</f>
        <v>Программирование(Свет)</v>
      </c>
      <c r="K5" s="0" t="str">
        <f aca="false">IFERROR(__xludf.dummyfunction("""COMPUTED_VALUE"""),"Физика(Шумаков)")</f>
        <v>Физика(Шумаков)</v>
      </c>
      <c r="L5" s="0" t="n">
        <f aca="false">IFERROR(__xludf.dummyfunction("""COMPUTED_VALUE"""),2)</f>
        <v>2</v>
      </c>
    </row>
    <row r="6" customFormat="false" ht="15.75" hidden="false" customHeight="false" outlineLevel="0" collapsed="false">
      <c r="A6" s="5" t="n">
        <v>3</v>
      </c>
      <c r="B6" s="6" t="n">
        <f aca="false">IFERROR(__xludf.dummyfunction("""COMPUTED_VALUE"""),42857.9381785069)</f>
        <v>42857.93818</v>
      </c>
      <c r="C6" s="0" t="str">
        <f aca="false">IFERROR(__xludf.dummyfunction("""COMPUTED_VALUE"""),"Лазарев")</f>
        <v>Лазарев</v>
      </c>
      <c r="D6" s="0" t="str">
        <f aca="false">IFERROR(__xludf.dummyfunction("""COMPUTED_VALUE"""),"Анатолий")</f>
        <v>Анатолий</v>
      </c>
      <c r="E6" s="0" t="n">
        <f aca="false">IFERROR(__xludf.dummyfunction("""COMPUTED_VALUE"""),9)</f>
        <v>9</v>
      </c>
      <c r="F6" s="7" t="str">
        <f aca="false">IFERROR(__xludf.dummyfunction("""COMPUTED_VALUE"""),"116")</f>
        <v>116</v>
      </c>
      <c r="H6" s="8" t="str">
        <f aca="false">IFERROR(__xludf.dummyfunction("""COMPUTED_VALUE"""),"vk.com/tillid")</f>
        <v>vk.com/tillid</v>
      </c>
      <c r="I6" s="0" t="str">
        <f aca="false">IFERROR(__xludf.dummyfunction("""COMPUTED_VALUE"""),"lazarevl2001@gmail.com")</f>
        <v>lazarevl2001@gmail.com</v>
      </c>
      <c r="J6" s="0" t="str">
        <f aca="false">IFERROR(__xludf.dummyfunction("""COMPUTED_VALUE"""),"Физика(Шумаков)")</f>
        <v>Физика(Шумаков)</v>
      </c>
      <c r="K6" s="0" t="str">
        <f aca="false">IFERROR(__xludf.dummyfunction("""COMPUTED_VALUE"""),"Экономика")</f>
        <v>Экономика</v>
      </c>
      <c r="L6" s="0" t="n">
        <f aca="false">IFERROR(__xludf.dummyfunction("""COMPUTED_VALUE"""),1)</f>
        <v>1</v>
      </c>
    </row>
    <row r="7" customFormat="false" ht="15.75" hidden="false" customHeight="false" outlineLevel="0" collapsed="false">
      <c r="A7" s="4" t="n">
        <v>4</v>
      </c>
      <c r="B7" s="6" t="n">
        <f aca="false">IFERROR(__xludf.dummyfunction("""COMPUTED_VALUE"""),42858.2451090046)</f>
        <v>42858.24511</v>
      </c>
      <c r="C7" s="0" t="str">
        <f aca="false">IFERROR(__xludf.dummyfunction("""COMPUTED_VALUE"""),"Затолоцкая ")</f>
        <v>Затолоцкая</v>
      </c>
      <c r="D7" s="0" t="str">
        <f aca="false">IFERROR(__xludf.dummyfunction("""COMPUTED_VALUE"""),"Юлия")</f>
        <v>Юлия</v>
      </c>
      <c r="E7" s="0" t="n">
        <f aca="false">IFERROR(__xludf.dummyfunction("""COMPUTED_VALUE"""),10)</f>
        <v>10</v>
      </c>
      <c r="F7" s="7" t="str">
        <f aca="false">IFERROR(__xludf.dummyfunction("""COMPUTED_VALUE"""),"СУНЦ НГУ")</f>
        <v>СУНЦ НГУ</v>
      </c>
      <c r="H7" s="8" t="str">
        <f aca="false">IFERROR(__xludf.dummyfunction("""COMPUTED_VALUE"""),"vk.com/juliya___z")</f>
        <v>vk.com/juliya___z</v>
      </c>
      <c r="I7" s="0" t="str">
        <f aca="false">IFERROR(__xludf.dummyfunction("""COMPUTED_VALUE"""),"Zatolockaya11@mail.ru ")</f>
        <v>Zatolockaya11@mail.ru</v>
      </c>
      <c r="J7" s="0" t="str">
        <f aca="false">IFERROR(__xludf.dummyfunction("""COMPUTED_VALUE"""),"Физика(Шумаков)")</f>
        <v>Физика(Шумаков)</v>
      </c>
      <c r="K7" s="0" t="str">
        <f aca="false">IFERROR(__xludf.dummyfunction("""COMPUTED_VALUE"""),"Программирование(Шульга)")</f>
        <v>Программирование(Шульга)</v>
      </c>
      <c r="L7" s="0" t="n">
        <f aca="false">IFERROR(__xludf.dummyfunction("""COMPUTED_VALUE"""),2)</f>
        <v>2</v>
      </c>
    </row>
    <row r="8" customFormat="false" ht="15.75" hidden="false" customHeight="false" outlineLevel="0" collapsed="false">
      <c r="A8" s="5" t="n">
        <v>5</v>
      </c>
      <c r="B8" s="6" t="n">
        <f aca="false">IFERROR(__xludf.dummyfunction("""COMPUTED_VALUE"""),42858.750765787)</f>
        <v>42858.75077</v>
      </c>
      <c r="C8" s="0" t="str">
        <f aca="false">IFERROR(__xludf.dummyfunction("""COMPUTED_VALUE"""),"Киямова")</f>
        <v>Киямова</v>
      </c>
      <c r="D8" s="0" t="str">
        <f aca="false">IFERROR(__xludf.dummyfunction("""COMPUTED_VALUE"""),"Наиля")</f>
        <v>Наиля</v>
      </c>
      <c r="E8" s="0" t="n">
        <f aca="false">IFERROR(__xludf.dummyfunction("""COMPUTED_VALUE"""),9)</f>
        <v>9</v>
      </c>
      <c r="F8" s="7" t="str">
        <f aca="false">IFERROR(__xludf.dummyfunction("""COMPUTED_VALUE"""),"лицей 64")</f>
        <v>лицей 64</v>
      </c>
      <c r="G8" s="0" t="str">
        <f aca="false">IFERROR(__xludf.dummyfunction("""COMPUTED_VALUE"""),"Могу не появляться на занятиях, но постараюсь без этого.")</f>
        <v>Могу не появляться на занятиях, но постараюсь без этого.</v>
      </c>
      <c r="H8" s="8" t="str">
        <f aca="false">IFERROR(__xludf.dummyfunction("""COMPUTED_VALUE"""),"vk.com/loiwwer")</f>
        <v>vk.com/loiwwer</v>
      </c>
      <c r="I8" s="0" t="str">
        <f aca="false">IFERROR(__xludf.dummyfunction("""COMPUTED_VALUE"""),"nkom5507@gmail.com")</f>
        <v>nkom5507@gmail.com</v>
      </c>
      <c r="J8" s="0" t="str">
        <f aca="false">IFERROR(__xludf.dummyfunction("""COMPUTED_VALUE"""),"Программирование(Свет)")</f>
        <v>Программирование(Свет)</v>
      </c>
      <c r="K8" s="0" t="str">
        <f aca="false">IFERROR(__xludf.dummyfunction("""COMPUTED_VALUE"""),"Физика(Шумаков)")</f>
        <v>Физика(Шумаков)</v>
      </c>
      <c r="L8" s="0" t="n">
        <f aca="false">IFERROR(__xludf.dummyfunction("""COMPUTED_VALUE"""),2)</f>
        <v>2</v>
      </c>
    </row>
    <row r="9" customFormat="false" ht="15.75" hidden="false" customHeight="false" outlineLevel="0" collapsed="false">
      <c r="A9" s="4" t="n">
        <v>6</v>
      </c>
      <c r="B9" s="11" t="n">
        <f aca="false">IFERROR(__xludf.dummyfunction("""COMPUTED_VALUE"""),42858.7692120255)</f>
        <v>42858.76921</v>
      </c>
      <c r="C9" s="0" t="str">
        <f aca="false">IFERROR(__xludf.dummyfunction("""COMPUTED_VALUE"""),"Гриценко")</f>
        <v>Гриценко</v>
      </c>
      <c r="D9" s="0" t="str">
        <f aca="false">IFERROR(__xludf.dummyfunction("""COMPUTED_VALUE"""),"Ольга")</f>
        <v>Ольга</v>
      </c>
      <c r="E9" s="0" t="n">
        <f aca="false">IFERROR(__xludf.dummyfunction("""COMPUTED_VALUE"""),10)</f>
        <v>10</v>
      </c>
      <c r="F9" s="7" t="str">
        <f aca="false">IFERROR(__xludf.dummyfunction("""COMPUTED_VALUE"""),"БОУ ОО ""МОЦРО №117""")</f>
        <v>БОУ ОО "МОЦРО №117"</v>
      </c>
      <c r="H9" s="8" t="str">
        <f aca="false">IFERROR(__xludf.dummyfunction("""COMPUTED_VALUE"""),"vk.com/idiamolya")</f>
        <v>vk.com/idiamolya</v>
      </c>
      <c r="I9" s="0" t="str">
        <f aca="false">IFERROR(__xludf.dummyfunction("""COMPUTED_VALUE"""),"olya_00@bk.ru")</f>
        <v>olya_00@bk.ru</v>
      </c>
      <c r="J9" s="0" t="str">
        <f aca="false">IFERROR(__xludf.dummyfunction("""COMPUTED_VALUE"""),"Физика(Шумаков)")</f>
        <v>Физика(Шумаков)</v>
      </c>
      <c r="K9" s="0" t="str">
        <f aca="false">IFERROR(__xludf.dummyfunction("""COMPUTED_VALUE"""),"Математика(Кудык)")</f>
        <v>Математика(Кудык)</v>
      </c>
      <c r="L9" s="0" t="n">
        <f aca="false">IFERROR(__xludf.dummyfunction("""COMPUTED_VALUE"""),2)</f>
        <v>2</v>
      </c>
    </row>
    <row r="10" customFormat="false" ht="15.75" hidden="false" customHeight="false" outlineLevel="0" collapsed="false">
      <c r="A10" s="5" t="n">
        <v>7</v>
      </c>
      <c r="B10" s="6" t="n">
        <f aca="false">IFERROR(__xludf.dummyfunction("""COMPUTED_VALUE"""),42863.3321471181)</f>
        <v>42863.33215</v>
      </c>
      <c r="C10" s="0" t="str">
        <f aca="false">IFERROR(__xludf.dummyfunction("""COMPUTED_VALUE"""),"Сташевская")</f>
        <v>Сташевская</v>
      </c>
      <c r="D10" s="0" t="str">
        <f aca="false">IFERROR(__xludf.dummyfunction("""COMPUTED_VALUE"""),"Анита")</f>
        <v>Анита</v>
      </c>
      <c r="E10" s="0" t="n">
        <f aca="false">IFERROR(__xludf.dummyfunction("""COMPUTED_VALUE"""),9)</f>
        <v>9</v>
      </c>
      <c r="F10" s="7" t="str">
        <f aca="false">IFERROR(__xludf.dummyfunction("""COMPUTED_VALUE"""),"Гимназия №84")</f>
        <v>Гимназия №84</v>
      </c>
      <c r="H10" s="8" t="str">
        <f aca="false">IFERROR(__xludf.dummyfunction("""COMPUTED_VALUE"""),"vk.com/anitastashevskaya")</f>
        <v>vk.com/anitastashevskaya</v>
      </c>
      <c r="I10" s="0" t="str">
        <f aca="false">IFERROR(__xludf.dummyfunction("""COMPUTED_VALUE"""),"anita.stashevskaya@mail.ru")</f>
        <v>anita.stashevskaya@mail.ru</v>
      </c>
      <c r="J10" s="0" t="str">
        <f aca="false">IFERROR(__xludf.dummyfunction("""COMPUTED_VALUE"""),"Физика(Шумаков)")</f>
        <v>Физика(Шумаков)</v>
      </c>
      <c r="K10" s="0" t="str">
        <f aca="false">IFERROR(__xludf.dummyfunction("""COMPUTED_VALUE"""),"Программирование(Шульга)")</f>
        <v>Программирование(Шульга)</v>
      </c>
      <c r="L10" s="0" t="n">
        <f aca="false">IFERROR(__xludf.dummyfunction("""COMPUTED_VALUE"""),2)</f>
        <v>2</v>
      </c>
    </row>
    <row r="11" customFormat="false" ht="15.75" hidden="false" customHeight="false" outlineLevel="0" collapsed="false">
      <c r="A11" s="4" t="n">
        <v>8</v>
      </c>
      <c r="B11" s="6" t="n">
        <f aca="false">IFERROR(__xludf.dummyfunction("""COMPUTED_VALUE"""),42863.7634646065)</f>
        <v>42863.76346</v>
      </c>
      <c r="C11" s="0" t="str">
        <f aca="false">IFERROR(__xludf.dummyfunction("""COMPUTED_VALUE"""),"Турышев")</f>
        <v>Турышев</v>
      </c>
      <c r="D11" s="0" t="str">
        <f aca="false">IFERROR(__xludf.dummyfunction("""COMPUTED_VALUE"""),"Константин")</f>
        <v>Константин</v>
      </c>
      <c r="E11" s="0" t="n">
        <f aca="false">IFERROR(__xludf.dummyfunction("""COMPUTED_VALUE"""),10)</f>
        <v>10</v>
      </c>
      <c r="F11" s="7" t="str">
        <f aca="false">IFERROR(__xludf.dummyfunction("""COMPUTED_VALUE"""),"Лицей 64")</f>
        <v>Лицей 64</v>
      </c>
      <c r="H11" s="8" t="str">
        <f aca="false">IFERROR(__xludf.dummyfunction("""COMPUTED_VALUE"""),"vk.com/id281300280")</f>
        <v>vk.com/id281300280</v>
      </c>
      <c r="I11" s="0" t="str">
        <f aca="false">IFERROR(__xludf.dummyfunction("""COMPUTED_VALUE"""),"turyshev.konstantin@gmail.com")</f>
        <v>turyshev.konstantin@gmail.com</v>
      </c>
      <c r="J11" s="0" t="str">
        <f aca="false">IFERROR(__xludf.dummyfunction("""COMPUTED_VALUE"""),"Физика(Рутберг)")</f>
        <v>Физика(Рутберг)</v>
      </c>
      <c r="K11" s="0" t="str">
        <f aca="false">IFERROR(__xludf.dummyfunction("""COMPUTED_VALUE"""),"Физика(Шумаков)")</f>
        <v>Физика(Шумаков)</v>
      </c>
      <c r="L11" s="0" t="n">
        <f aca="false">IFERROR(__xludf.dummyfunction("""COMPUTED_VALUE"""),2)</f>
        <v>2</v>
      </c>
    </row>
    <row r="12" customFormat="false" ht="15.75" hidden="false" customHeight="false" outlineLevel="0" collapsed="false">
      <c r="A12" s="5" t="n">
        <v>9</v>
      </c>
      <c r="B12" s="6" t="n">
        <f aca="false">IFERROR(__xludf.dummyfunction("""COMPUTED_VALUE"""),42864.3187935532)</f>
        <v>42864.31879</v>
      </c>
      <c r="C12" s="0" t="str">
        <f aca="false">IFERROR(__xludf.dummyfunction("""COMPUTED_VALUE"""),"Шевцов")</f>
        <v>Шевцов</v>
      </c>
      <c r="D12" s="0" t="str">
        <f aca="false">IFERROR(__xludf.dummyfunction("""COMPUTED_VALUE"""),"Владислав")</f>
        <v>Владислав</v>
      </c>
      <c r="E12" s="0" t="n">
        <f aca="false">IFERROR(__xludf.dummyfunction("""COMPUTED_VALUE"""),10)</f>
        <v>10</v>
      </c>
      <c r="F12" s="7" t="str">
        <f aca="false">IFERROR(__xludf.dummyfunction("""COMPUTED_VALUE"""),"Лицей 92")</f>
        <v>Лицей 92</v>
      </c>
      <c r="G12" s="0" t="str">
        <f aca="false">IFERROR(__xludf.dummyfunction("""COMPUTED_VALUE"""),"Возможно, могут быть обстоятельства,  по которым вынужден буду отказаться, но постараюсь предупредить заранее")</f>
        <v>Возможно, могут быть обстоятельства,  по которым вынужден буду отказаться, но постараюсь предупредить заранее</v>
      </c>
      <c r="H12" s="8" t="str">
        <f aca="false">IFERROR(__xludf.dummyfunction("""COMPUTED_VALUE"""),"vk.com/shefat")</f>
        <v>vk.com/shefat</v>
      </c>
      <c r="I12" s="0" t="str">
        <f aca="false">IFERROR(__xludf.dummyfunction("""COMPUTED_VALUE"""),"InEveryGoodShefat@gmail.com")</f>
        <v>InEveryGoodShefat@gmail.com</v>
      </c>
      <c r="J12" s="0" t="str">
        <f aca="false">IFERROR(__xludf.dummyfunction("""COMPUTED_VALUE"""),"Физика(Шумаков)")</f>
        <v>Физика(Шумаков)</v>
      </c>
      <c r="K12" s="0" t="str">
        <f aca="false">IFERROR(__xludf.dummyfunction("""COMPUTED_VALUE"""),"Математика(Кудык)")</f>
        <v>Математика(Кудык)</v>
      </c>
      <c r="L12" s="0" t="n">
        <f aca="false">IFERROR(__xludf.dummyfunction("""COMPUTED_VALUE"""),2)</f>
        <v>2</v>
      </c>
    </row>
    <row r="13" customFormat="false" ht="15.75" hidden="false" customHeight="false" outlineLevel="0" collapsed="false">
      <c r="A13" s="4" t="n">
        <v>10</v>
      </c>
      <c r="B13" s="6" t="n">
        <f aca="false">IFERROR(__xludf.dummyfunction("""COMPUTED_VALUE"""),42866.6323095139)</f>
        <v>42866.63231</v>
      </c>
      <c r="C13" s="0" t="str">
        <f aca="false">IFERROR(__xludf.dummyfunction("""COMPUTED_VALUE"""),"Широкова")</f>
        <v>Широкова</v>
      </c>
      <c r="D13" s="0" t="str">
        <f aca="false">IFERROR(__xludf.dummyfunction("""COMPUTED_VALUE"""),"Ирина")</f>
        <v>Ирина</v>
      </c>
      <c r="E13" s="0" t="n">
        <f aca="false">IFERROR(__xludf.dummyfunction("""COMPUTED_VALUE"""),9)</f>
        <v>9</v>
      </c>
      <c r="F13" s="7" t="str">
        <f aca="false">IFERROR(__xludf.dummyfunction("""COMPUTED_VALUE"""),"Лицей 64")</f>
        <v>Лицей 64</v>
      </c>
      <c r="H13" s="8" t="str">
        <f aca="false">IFERROR(__xludf.dummyfunction("""COMPUTED_VALUE"""),"vk.com/id189704537")</f>
        <v>vk.com/id189704537</v>
      </c>
      <c r="I13" s="0" t="str">
        <f aca="false">IFERROR(__xludf.dummyfunction("""COMPUTED_VALUE"""),"ira.shirokova.01@bk.ru")</f>
        <v>ira.shirokova.01@bk.ru</v>
      </c>
      <c r="J13" s="0" t="str">
        <f aca="false">IFERROR(__xludf.dummyfunction("""COMPUTED_VALUE"""),"Физика(Шумаков)")</f>
        <v>Физика(Шумаков)</v>
      </c>
      <c r="K13" s="0" t="str">
        <f aca="false">IFERROR(__xludf.dummyfunction("""COMPUTED_VALUE"""),"Математика(Строженко)")</f>
        <v>Математика(Строженко)</v>
      </c>
      <c r="L13" s="0" t="n">
        <f aca="false">IFERROR(__xludf.dummyfunction("""COMPUTED_VALUE"""),2)</f>
        <v>2</v>
      </c>
    </row>
    <row r="14" customFormat="false" ht="15.75" hidden="false" customHeight="false" outlineLevel="0" collapsed="false">
      <c r="A14" s="5" t="n">
        <v>11</v>
      </c>
      <c r="B14" s="6" t="n">
        <f aca="false">IFERROR(__xludf.dummyfunction("""COMPUTED_VALUE"""),42868.7708860069)</f>
        <v>42868.77089</v>
      </c>
      <c r="C14" s="0" t="str">
        <f aca="false">IFERROR(__xludf.dummyfunction("""COMPUTED_VALUE"""),"Ушаков")</f>
        <v>Ушаков</v>
      </c>
      <c r="D14" s="0" t="str">
        <f aca="false">IFERROR(__xludf.dummyfunction("""COMPUTED_VALUE"""),"Константин")</f>
        <v>Константин</v>
      </c>
      <c r="E14" s="0" t="n">
        <f aca="false">IFERROR(__xludf.dummyfunction("""COMPUTED_VALUE"""),10)</f>
        <v>10</v>
      </c>
      <c r="F14" s="7" t="str">
        <f aca="false">IFERROR(__xludf.dummyfunction("""COMPUTED_VALUE"""),"Лицей 64")</f>
        <v>Лицей 64</v>
      </c>
      <c r="G14" s="0" t="str">
        <f aca="false">IFERROR(__xludf.dummyfunction("""COMPUTED_VALUE"""),"кроме двух дней в неделю(вполне возможно, что все дни буду)")</f>
        <v>кроме двух дней в неделю(вполне возможно, что все дни буду)</v>
      </c>
      <c r="H14" s="8" t="str">
        <f aca="false">IFERROR(__xludf.dummyfunction("""COMPUTED_VALUE"""),"vk.com/werrewqr")</f>
        <v>vk.com/werrewqr</v>
      </c>
      <c r="I14" s="0" t="str">
        <f aca="false">IFERROR(__xludf.dummyfunction("""COMPUTED_VALUE"""),"ushk2010@yandex.ru")</f>
        <v>ushk2010@yandex.ru</v>
      </c>
      <c r="J14" s="0" t="str">
        <f aca="false">IFERROR(__xludf.dummyfunction("""COMPUTED_VALUE"""),"Физика(Шумаков)")</f>
        <v>Физика(Шумаков)</v>
      </c>
      <c r="K14" s="0" t="str">
        <f aca="false">IFERROR(__xludf.dummyfunction("""COMPUTED_VALUE"""),"Математика(Строженко)")</f>
        <v>Математика(Строженко)</v>
      </c>
      <c r="L14" s="0" t="n">
        <f aca="false">IFERROR(__xludf.dummyfunction("""COMPUTED_VALUE"""),2)</f>
        <v>2</v>
      </c>
    </row>
    <row r="15" customFormat="false" ht="15.75" hidden="false" customHeight="false" outlineLevel="0" collapsed="false">
      <c r="A15" s="4" t="n">
        <v>12</v>
      </c>
      <c r="B15" s="6" t="n">
        <f aca="false">IFERROR(__xludf.dummyfunction("""COMPUTED_VALUE"""),42871.2149998495)</f>
        <v>42871.215</v>
      </c>
      <c r="C15" s="0" t="str">
        <f aca="false">IFERROR(__xludf.dummyfunction("""COMPUTED_VALUE"""),"Белозерова")</f>
        <v>Белозерова</v>
      </c>
      <c r="D15" s="0" t="str">
        <f aca="false">IFERROR(__xludf.dummyfunction("""COMPUTED_VALUE"""),"Ольга")</f>
        <v>Ольга</v>
      </c>
      <c r="E15" s="0" t="n">
        <f aca="false">IFERROR(__xludf.dummyfunction("""COMPUTED_VALUE"""),9)</f>
        <v>9</v>
      </c>
      <c r="F15" s="7" t="str">
        <f aca="false">IFERROR(__xludf.dummyfunction("""COMPUTED_VALUE"""),"117")</f>
        <v>117</v>
      </c>
      <c r="H15" s="8" t="str">
        <f aca="false">IFERROR(__xludf.dummyfunction("""COMPUTED_VALUE"""),"vk.com/obeloz")</f>
        <v>vk.com/obeloz</v>
      </c>
      <c r="I15" s="0" t="str">
        <f aca="false">IFERROR(__xludf.dummyfunction("""COMPUTED_VALUE"""),"Basyanet@gmail.com")</f>
        <v>Basyanet@gmail.com</v>
      </c>
      <c r="J15" s="0" t="str">
        <f aca="false">IFERROR(__xludf.dummyfunction("""COMPUTED_VALUE"""),"Программирование(Свет)")</f>
        <v>Программирование(Свет)</v>
      </c>
      <c r="K15" s="0" t="str">
        <f aca="false">IFERROR(__xludf.dummyfunction("""COMPUTED_VALUE"""),"Физика(Шумаков)")</f>
        <v>Физика(Шумаков)</v>
      </c>
      <c r="L15" s="0" t="n">
        <f aca="false">IFERROR(__xludf.dummyfunction("""COMPUTED_VALUE"""),2)</f>
        <v>2</v>
      </c>
    </row>
    <row r="16" customFormat="false" ht="15.75" hidden="false" customHeight="false" outlineLevel="0" collapsed="false">
      <c r="A16" s="5" t="n">
        <v>13</v>
      </c>
      <c r="B16" s="6" t="n">
        <f aca="false">IFERROR(__xludf.dummyfunction("""COMPUTED_VALUE"""),42872.7245034028)</f>
        <v>42872.7245</v>
      </c>
      <c r="C16" s="0" t="str">
        <f aca="false">IFERROR(__xludf.dummyfunction("""COMPUTED_VALUE"""),"Кушнарева")</f>
        <v>Кушнарева</v>
      </c>
      <c r="D16" s="0" t="str">
        <f aca="false">IFERROR(__xludf.dummyfunction("""COMPUTED_VALUE"""),"Анастасия")</f>
        <v>Анастасия</v>
      </c>
      <c r="E16" s="0" t="n">
        <f aca="false">IFERROR(__xludf.dummyfunction("""COMPUTED_VALUE"""),10)</f>
        <v>10</v>
      </c>
      <c r="F16" s="7" t="str">
        <f aca="false">IFERROR(__xludf.dummyfunction("""COMPUTED_VALUE"""),"гимназия 159")</f>
        <v>гимназия 159</v>
      </c>
      <c r="H16" s="8" t="str">
        <f aca="false">IFERROR(__xludf.dummyfunction("""COMPUTED_VALUE"""),"vk.com/akushnareva2000")</f>
        <v>vk.com/akushnareva2000</v>
      </c>
      <c r="I16" s="0" t="str">
        <f aca="false">IFERROR(__xludf.dummyfunction("""COMPUTED_VALUE"""),"anastasiakushnareva26@gmail.com")</f>
        <v>anastasiakushnareva26@gmail.com</v>
      </c>
      <c r="J16" s="0" t="str">
        <f aca="false">IFERROR(__xludf.dummyfunction("""COMPUTED_VALUE"""),"Физика(Рутберг)")</f>
        <v>Физика(Рутберг)</v>
      </c>
      <c r="K16" s="0" t="str">
        <f aca="false">IFERROR(__xludf.dummyfunction("""COMPUTED_VALUE"""),"Физика(Шумаков)")</f>
        <v>Физика(Шумаков)</v>
      </c>
      <c r="L16" s="0" t="n">
        <f aca="false">IFERROR(__xludf.dummyfunction("""COMPUTED_VALUE"""),2)</f>
        <v>2</v>
      </c>
    </row>
    <row r="17" customFormat="false" ht="15.75" hidden="false" customHeight="false" outlineLevel="0" collapsed="false">
      <c r="A17" s="4" t="n">
        <v>14</v>
      </c>
      <c r="B17" s="6" t="n">
        <f aca="false">IFERROR(__xludf.dummyfunction("""COMPUTED_VALUE"""),42872.7721950579)</f>
        <v>42872.7722</v>
      </c>
      <c r="C17" s="0" t="str">
        <f aca="false">IFERROR(__xludf.dummyfunction("""COMPUTED_VALUE"""),"Артамонов")</f>
        <v>Артамонов</v>
      </c>
      <c r="D17" s="0" t="str">
        <f aca="false">IFERROR(__xludf.dummyfunction("""COMPUTED_VALUE"""),"Виктор")</f>
        <v>Виктор</v>
      </c>
      <c r="E17" s="0" t="n">
        <f aca="false">IFERROR(__xludf.dummyfunction("""COMPUTED_VALUE"""),9)</f>
        <v>9</v>
      </c>
      <c r="F17" s="7" t="str">
        <f aca="false">IFERROR(__xludf.dummyfunction("""COMPUTED_VALUE"""),"Гимназия № 140")</f>
        <v>Гимназия № 140</v>
      </c>
      <c r="H17" s="8" t="str">
        <f aca="false">IFERROR(__xludf.dummyfunction("""COMPUTED_VALUE"""),"vk.com/svandrith")</f>
        <v>vk.com/svandrith</v>
      </c>
      <c r="I17" s="0" t="str">
        <f aca="false">IFERROR(__xludf.dummyfunction("""COMPUTED_VALUE"""),"mr.viktorasov@mail.ru")</f>
        <v>mr.viktorasov@mail.ru</v>
      </c>
      <c r="J17" s="0" t="str">
        <f aca="false">IFERROR(__xludf.dummyfunction("""COMPUTED_VALUE"""),"Физика(Шумаков)")</f>
        <v>Физика(Шумаков)</v>
      </c>
      <c r="K17" s="0" t="str">
        <f aca="false">IFERROR(__xludf.dummyfunction("""COMPUTED_VALUE"""),"Программирование(Шульга)")</f>
        <v>Программирование(Шульга)</v>
      </c>
      <c r="L17" s="0" t="n">
        <f aca="false">IFERROR(__xludf.dummyfunction("""COMPUTED_VALUE"""),2)</f>
        <v>2</v>
      </c>
    </row>
    <row r="18" customFormat="false" ht="15.75" hidden="false" customHeight="false" outlineLevel="0" collapsed="false">
      <c r="A18" s="5" t="n">
        <v>15</v>
      </c>
      <c r="B18" s="6" t="n">
        <f aca="false">IFERROR(__xludf.dummyfunction("""COMPUTED_VALUE"""),42873.4809587384)</f>
        <v>42873.48096</v>
      </c>
      <c r="C18" s="0" t="str">
        <f aca="false">IFERROR(__xludf.dummyfunction("""COMPUTED_VALUE"""),"Савченко")</f>
        <v>Савченко</v>
      </c>
      <c r="D18" s="0" t="str">
        <f aca="false">IFERROR(__xludf.dummyfunction("""COMPUTED_VALUE"""),"Константин")</f>
        <v>Константин</v>
      </c>
      <c r="E18" s="0" t="n">
        <f aca="false">IFERROR(__xludf.dummyfunction("""COMPUTED_VALUE"""),10)</f>
        <v>10</v>
      </c>
      <c r="F18" s="7" t="str">
        <f aca="false">IFERROR(__xludf.dummyfunction("""COMPUTED_VALUE"""),"117")</f>
        <v>117</v>
      </c>
      <c r="H18" s="8" t="str">
        <f aca="false">IFERROR(__xludf.dummyfunction("""COMPUTED_VALUE"""),"vk.com/id163053104")</f>
        <v>vk.com/id163053104</v>
      </c>
      <c r="I18" s="0" t="str">
        <f aca="false">IFERROR(__xludf.dummyfunction("""COMPUTED_VALUE"""),"skld0@bk.ru")</f>
        <v>skld0@bk.ru</v>
      </c>
      <c r="J18" s="0" t="str">
        <f aca="false">IFERROR(__xludf.dummyfunction("""COMPUTED_VALUE"""),"Физика(Шумаков)")</f>
        <v>Физика(Шумаков)</v>
      </c>
      <c r="K18" s="0" t="str">
        <f aca="false">IFERROR(__xludf.dummyfunction("""COMPUTED_VALUE"""),"Математика(Строженко)")</f>
        <v>Математика(Строженко)</v>
      </c>
      <c r="L18" s="0" t="n">
        <f aca="false">IFERROR(__xludf.dummyfunction("""COMPUTED_VALUE"""),2)</f>
        <v>2</v>
      </c>
    </row>
    <row r="19" customFormat="false" ht="15.75" hidden="false" customHeight="false" outlineLevel="0" collapsed="false">
      <c r="A19" s="4" t="n">
        <v>16</v>
      </c>
      <c r="B19" s="6" t="n">
        <f aca="false">IFERROR(__xludf.dummyfunction("""COMPUTED_VALUE"""),42873.6433293634)</f>
        <v>42873.64333</v>
      </c>
      <c r="C19" s="0" t="str">
        <f aca="false">IFERROR(__xludf.dummyfunction("""COMPUTED_VALUE"""),"Черноок")</f>
        <v>Черноок</v>
      </c>
      <c r="D19" s="0" t="str">
        <f aca="false">IFERROR(__xludf.dummyfunction("""COMPUTED_VALUE"""),"Егор ")</f>
        <v>Егор</v>
      </c>
      <c r="E19" s="0" t="n">
        <f aca="false">IFERROR(__xludf.dummyfunction("""COMPUTED_VALUE"""),10)</f>
        <v>10</v>
      </c>
      <c r="F19" s="7" t="str">
        <f aca="false">IFERROR(__xludf.dummyfunction("""COMPUTED_VALUE"""),"МОЦРО 117")</f>
        <v>МОЦРО 117</v>
      </c>
      <c r="H19" s="8" t="str">
        <f aca="false">IFERROR(__xludf.dummyfunction("""COMPUTED_VALUE"""),"vk.com/id149548495")</f>
        <v>vk.com/id149548495</v>
      </c>
      <c r="I19" s="0" t="str">
        <f aca="false">IFERROR(__xludf.dummyfunction("""COMPUTED_VALUE"""),"egor-chernook@mail.ru")</f>
        <v>egor-chernook@mail.ru</v>
      </c>
      <c r="J19" s="0" t="str">
        <f aca="false">IFERROR(__xludf.dummyfunction("""COMPUTED_VALUE"""),"Физика(Шумаков)")</f>
        <v>Физика(Шумаков)</v>
      </c>
      <c r="K19" s="0" t="str">
        <f aca="false">IFERROR(__xludf.dummyfunction("""COMPUTED_VALUE"""),"Программирование(Шульга)")</f>
        <v>Программирование(Шульга)</v>
      </c>
      <c r="L19" s="0" t="n">
        <f aca="false">IFERROR(__xludf.dummyfunction("""COMPUTED_VALUE"""),2)</f>
        <v>2</v>
      </c>
    </row>
    <row r="20" customFormat="false" ht="15.75" hidden="false" customHeight="false" outlineLevel="0" collapsed="false">
      <c r="A20" s="5" t="n">
        <v>17</v>
      </c>
      <c r="B20" s="6" t="n">
        <f aca="false">IFERROR(__xludf.dummyfunction("""COMPUTED_VALUE"""),42873.809597662)</f>
        <v>42873.8096</v>
      </c>
      <c r="C20" s="0" t="str">
        <f aca="false">IFERROR(__xludf.dummyfunction("""COMPUTED_VALUE"""),"Олейник")</f>
        <v>Олейник</v>
      </c>
      <c r="D20" s="0" t="str">
        <f aca="false">IFERROR(__xludf.dummyfunction("""COMPUTED_VALUE"""),"Анастасия")</f>
        <v>Анастасия</v>
      </c>
      <c r="E20" s="0" t="n">
        <f aca="false">IFERROR(__xludf.dummyfunction("""COMPUTED_VALUE"""),10)</f>
        <v>10</v>
      </c>
      <c r="F20" s="0" t="n">
        <f aca="false">IFERROR(__xludf.dummyfunction("""COMPUTED_VALUE"""),117)</f>
        <v>117</v>
      </c>
      <c r="H20" s="8" t="str">
        <f aca="false">IFERROR(__xludf.dummyfunction("""COMPUTED_VALUE"""),"vk.com/lololen.gobz")</f>
        <v>vk.com/lololen.gobz</v>
      </c>
      <c r="I20" s="0" t="str">
        <f aca="false">IFERROR(__xludf.dummyfunction("""COMPUTED_VALUE"""),"Лень")</f>
        <v>Лень</v>
      </c>
      <c r="J20" s="0" t="str">
        <f aca="false">IFERROR(__xludf.dummyfunction("""COMPUTED_VALUE"""),"Программирование(Свет)")</f>
        <v>Программирование(Свет)</v>
      </c>
      <c r="K20" s="0" t="str">
        <f aca="false">IFERROR(__xludf.dummyfunction("""COMPUTED_VALUE"""),"Физика(Шумаков)")</f>
        <v>Физика(Шумаков)</v>
      </c>
      <c r="L20" s="0" t="n">
        <f aca="false">IFERROR(__xludf.dummyfunction("""COMPUTED_VALUE"""),2)</f>
        <v>2</v>
      </c>
    </row>
    <row r="21" customFormat="false" ht="15.75" hidden="false" customHeight="false" outlineLevel="0" collapsed="false">
      <c r="A21" s="5" t="n">
        <v>18</v>
      </c>
      <c r="B21" s="6" t="n">
        <f aca="false">IFERROR(__xludf.dummyfunction("""COMPUTED_VALUE"""),42886.7004684028)</f>
        <v>42886.70047</v>
      </c>
      <c r="C21" s="0" t="str">
        <f aca="false">IFERROR(__xludf.dummyfunction("""COMPUTED_VALUE"""),"Бендик ")</f>
        <v>Бендик</v>
      </c>
      <c r="D21" s="0" t="str">
        <f aca="false">IFERROR(__xludf.dummyfunction("""COMPUTED_VALUE"""),"Илья")</f>
        <v>Илья</v>
      </c>
      <c r="E21" s="0" t="n">
        <f aca="false">IFERROR(__xludf.dummyfunction("""COMPUTED_VALUE"""),11)</f>
        <v>11</v>
      </c>
      <c r="F21" s="7" t="str">
        <f aca="false">IFERROR(__xludf.dummyfunction("""COMPUTED_VALUE"""),"117")</f>
        <v>117</v>
      </c>
      <c r="H21" s="8" t="str">
        <f aca="false">IFERROR(__xludf.dummyfunction("""COMPUTED_VALUE"""),"vk.com/id189813664")</f>
        <v>vk.com/id189813664</v>
      </c>
      <c r="I21" s="0" t="str">
        <f aca="false">IFERROR(__xludf.dummyfunction("""COMPUTED_VALUE"""),"ilyabend@yandex.ru")</f>
        <v>ilyabend@yandex.ru</v>
      </c>
      <c r="J21" s="0" t="str">
        <f aca="false">IFERROR(__xludf.dummyfunction("""COMPUTED_VALUE"""),"Биоинформатика")</f>
        <v>Биоинформатика</v>
      </c>
      <c r="K21" s="0" t="str">
        <f aca="false">IFERROR(__xludf.dummyfunction("""COMPUTED_VALUE"""),"Физика(Шумаков)")</f>
        <v>Физика(Шумаков)</v>
      </c>
      <c r="L21" s="0" t="n">
        <f aca="false">IFERROR(__xludf.dummyfunction("""COMPUTED_VALUE"""),2)</f>
        <v>2</v>
      </c>
    </row>
    <row r="22" customFormat="false" ht="15.75" hidden="false" customHeight="false" outlineLevel="0" collapsed="false">
      <c r="A22" s="4" t="n">
        <v>19</v>
      </c>
      <c r="B22" s="6" t="n">
        <f aca="false">IFERROR(__xludf.dummyfunction("""COMPUTED_VALUE"""),42888.7055555556)</f>
        <v>42888.70556</v>
      </c>
      <c r="C22" s="0" t="str">
        <f aca="false">IFERROR(__xludf.dummyfunction("""COMPUTED_VALUE"""),"Курбатова")</f>
        <v>Курбатова</v>
      </c>
      <c r="D22" s="0" t="str">
        <f aca="false">IFERROR(__xludf.dummyfunction("""COMPUTED_VALUE"""),"Анна")</f>
        <v>Анна</v>
      </c>
      <c r="E22" s="0" t="n">
        <f aca="false">IFERROR(__xludf.dummyfunction("""COMPUTED_VALUE"""),8)</f>
        <v>8</v>
      </c>
      <c r="F22" s="0" t="str">
        <f aca="false">IFERROR(__xludf.dummyfunction("""COMPUTED_VALUE"""),"БОУ СОШ 3")</f>
        <v>БОУ СОШ 3</v>
      </c>
      <c r="G22" s="0" t="str">
        <f aca="false">IFERROR(__xludf.dummyfunction("""COMPUTED_VALUE"""),"Вопрос с 09.07")</f>
        <v>Вопрос с 09.07</v>
      </c>
      <c r="H22" s="8" t="str">
        <f aca="false">IFERROR(__xludf.dummyfunction("""COMPUTED_VALUE"""),"vk.com/anna.kurbatova99")</f>
        <v>vk.com/anna.kurbatova99</v>
      </c>
      <c r="I22" s="0" t="str">
        <f aca="false">IFERROR(__xludf.dummyfunction("""COMPUTED_VALUE"""),"kea-sea@ya.ru")</f>
        <v>kea-sea@ya.ru</v>
      </c>
      <c r="J22" s="0" t="str">
        <f aca="false">IFERROR(__xludf.dummyfunction("""COMPUTED_VALUE"""),"Биоинформатика")</f>
        <v>Биоинформатика</v>
      </c>
      <c r="K22" s="0" t="str">
        <f aca="false">IFERROR(__xludf.dummyfunction("""COMPUTED_VALUE"""),"Физика(Шумаков)")</f>
        <v>Физика(Шумаков)</v>
      </c>
      <c r="L22" s="0" t="n">
        <f aca="false">IFERROR(__xludf.dummyfunction("""COMPUTED_VALUE"""),2)</f>
        <v>2</v>
      </c>
    </row>
    <row r="23" customFormat="false" ht="15.75" hidden="false" customHeight="false" outlineLevel="0" collapsed="false">
      <c r="A23" s="5" t="n">
        <v>20</v>
      </c>
    </row>
    <row r="24" customFormat="false" ht="15.75" hidden="false" customHeight="false" outlineLevel="0" collapsed="false">
      <c r="A24" s="4" t="n">
        <v>21</v>
      </c>
    </row>
    <row r="25" customFormat="false" ht="15.75" hidden="false" customHeight="false" outlineLevel="0" collapsed="false">
      <c r="A25" s="5" t="n">
        <v>22</v>
      </c>
    </row>
    <row r="26" customFormat="false" ht="15.75" hidden="false" customHeight="false" outlineLevel="0" collapsed="false">
      <c r="A26" s="4" t="n">
        <v>23</v>
      </c>
    </row>
    <row r="27" customFormat="false" ht="15.75" hidden="false" customHeight="false" outlineLevel="0" collapsed="false">
      <c r="A27" s="5" t="n">
        <v>24</v>
      </c>
    </row>
    <row r="28" customFormat="false" ht="15.75" hidden="false" customHeight="false" outlineLevel="0" collapsed="false">
      <c r="A28" s="4" t="n">
        <v>25</v>
      </c>
    </row>
    <row r="29" customFormat="false" ht="15.75" hidden="false" customHeight="false" outlineLevel="0" collapsed="false">
      <c r="A29" s="5" t="n">
        <v>26</v>
      </c>
      <c r="J29" s="4"/>
      <c r="K29" s="4"/>
    </row>
    <row r="30" customFormat="false" ht="15.75" hidden="false" customHeight="false" outlineLevel="0" collapsed="false">
      <c r="A30" s="4" t="n">
        <v>27</v>
      </c>
    </row>
    <row r="31" customFormat="false" ht="15.75" hidden="false" customHeight="false" outlineLevel="0" collapsed="false">
      <c r="A31" s="5" t="n">
        <v>28</v>
      </c>
    </row>
    <row r="32" customFormat="false" ht="15.75" hidden="false" customHeight="false" outlineLevel="0" collapsed="false">
      <c r="A32" s="4" t="n">
        <v>29</v>
      </c>
    </row>
    <row r="33" customFormat="false" ht="15.75" hidden="false" customHeight="false" outlineLevel="0" collapsed="false">
      <c r="A33" s="5" t="n">
        <v>30</v>
      </c>
    </row>
    <row r="34" customFormat="false" ht="15.75" hidden="false" customHeight="false" outlineLevel="0" collapsed="false">
      <c r="A34" s="4" t="n">
        <v>31</v>
      </c>
    </row>
    <row r="35" customFormat="false" ht="15.75" hidden="false" customHeight="false" outlineLevel="0" collapsed="false">
      <c r="A35" s="5" t="n">
        <v>32</v>
      </c>
    </row>
    <row r="36" customFormat="false" ht="15.75" hidden="false" customHeight="false" outlineLevel="0" collapsed="false">
      <c r="A36" s="4" t="n">
        <v>33</v>
      </c>
    </row>
    <row r="37" customFormat="false" ht="15.75" hidden="false" customHeight="false" outlineLevel="0" collapsed="false">
      <c r="A37" s="5" t="n">
        <v>34</v>
      </c>
    </row>
    <row r="38" customFormat="false" ht="15.75" hidden="false" customHeight="false" outlineLevel="0" collapsed="false">
      <c r="A38" s="4" t="n">
        <v>35</v>
      </c>
    </row>
    <row r="39" customFormat="false" ht="15.75" hidden="false" customHeight="false" outlineLevel="0" collapsed="false">
      <c r="A39" s="5" t="n">
        <v>36</v>
      </c>
    </row>
    <row r="40" customFormat="false" ht="15.75" hidden="false" customHeight="false" outlineLevel="0" collapsed="false">
      <c r="A40" s="4" t="n">
        <v>37</v>
      </c>
      <c r="L40" s="5"/>
    </row>
    <row r="41" customFormat="false" ht="15.75" hidden="false" customHeight="false" outlineLevel="0" collapsed="false">
      <c r="A41" s="5" t="n">
        <v>38</v>
      </c>
      <c r="L41" s="5"/>
    </row>
    <row r="42" customFormat="false" ht="15.75" hidden="false" customHeight="false" outlineLevel="0" collapsed="false">
      <c r="A42" s="4" t="n">
        <v>39</v>
      </c>
      <c r="L42" s="5"/>
    </row>
    <row r="43" customFormat="false" ht="15.75" hidden="false" customHeight="false" outlineLevel="0" collapsed="false">
      <c r="A43" s="4" t="n">
        <v>40</v>
      </c>
      <c r="L43" s="5"/>
    </row>
    <row r="44" customFormat="false" ht="15.75" hidden="false" customHeight="false" outlineLevel="0" collapsed="false">
      <c r="A44" s="5" t="n">
        <v>41</v>
      </c>
      <c r="B44" s="12"/>
      <c r="C44" s="5"/>
      <c r="D44" s="5"/>
      <c r="E44" s="13"/>
      <c r="F44" s="13"/>
      <c r="G44" s="5"/>
      <c r="H44" s="14"/>
      <c r="I44" s="5"/>
      <c r="J44" s="5"/>
      <c r="K44" s="5"/>
      <c r="L44" s="5"/>
    </row>
    <row r="45" customFormat="false" ht="15.75" hidden="false" customHeight="false" outlineLevel="0" collapsed="false">
      <c r="A45" s="4" t="n">
        <v>42</v>
      </c>
      <c r="B45" s="12"/>
      <c r="C45" s="5"/>
      <c r="D45" s="5"/>
      <c r="E45" s="13"/>
      <c r="F45" s="13"/>
      <c r="G45" s="5"/>
      <c r="H45" s="14"/>
      <c r="I45" s="5"/>
      <c r="J45" s="5"/>
      <c r="K45" s="5"/>
      <c r="L45" s="5"/>
    </row>
    <row r="46" customFormat="false" ht="15.75" hidden="false" customHeight="false" outlineLevel="0" collapsed="false">
      <c r="A46" s="5" t="n">
        <v>43</v>
      </c>
      <c r="B46" s="12"/>
      <c r="C46" s="5"/>
      <c r="D46" s="5"/>
      <c r="E46" s="13"/>
      <c r="F46" s="13"/>
      <c r="G46" s="5"/>
      <c r="H46" s="14"/>
      <c r="I46" s="5"/>
      <c r="J46" s="5"/>
      <c r="K46" s="5"/>
      <c r="L46" s="5"/>
    </row>
    <row r="47" customFormat="false" ht="15.75" hidden="false" customHeight="false" outlineLevel="0" collapsed="false">
      <c r="A47" s="4" t="n">
        <v>44</v>
      </c>
      <c r="B47" s="12"/>
      <c r="C47" s="5"/>
      <c r="D47" s="5"/>
      <c r="E47" s="13"/>
      <c r="F47" s="13"/>
      <c r="G47" s="5"/>
      <c r="H47" s="14"/>
      <c r="I47" s="5"/>
      <c r="J47" s="5"/>
      <c r="K47" s="5"/>
      <c r="L47" s="5"/>
    </row>
    <row r="48" customFormat="false" ht="15.75" hidden="false" customHeight="false" outlineLevel="0" collapsed="false">
      <c r="A48" s="5" t="n">
        <v>45</v>
      </c>
      <c r="B48" s="12"/>
      <c r="C48" s="5"/>
      <c r="D48" s="5"/>
      <c r="E48" s="13"/>
      <c r="F48" s="5"/>
      <c r="G48" s="5"/>
      <c r="H48" s="14"/>
      <c r="I48" s="5"/>
      <c r="J48" s="5"/>
      <c r="K48" s="5"/>
      <c r="L48" s="5"/>
    </row>
    <row r="49" customFormat="false" ht="15.75" hidden="false" customHeight="false" outlineLevel="0" collapsed="false">
      <c r="A49" s="4" t="n">
        <v>46</v>
      </c>
      <c r="B49" s="12"/>
      <c r="C49" s="5"/>
      <c r="D49" s="5"/>
      <c r="E49" s="13"/>
      <c r="F49" s="5"/>
      <c r="G49" s="5"/>
      <c r="H49" s="14"/>
      <c r="I49" s="5"/>
      <c r="J49" s="5"/>
      <c r="K49" s="5"/>
      <c r="L49" s="5"/>
    </row>
    <row r="50" customFormat="false" ht="15.75" hidden="false" customHeight="false" outlineLevel="0" collapsed="false">
      <c r="A50" s="4" t="n">
        <v>47</v>
      </c>
    </row>
    <row r="51" customFormat="false" ht="15.75" hidden="false" customHeight="false" outlineLevel="0" collapsed="false">
      <c r="A51" s="5"/>
    </row>
    <row r="52" customFormat="false" ht="15.75" hidden="false" customHeight="false" outlineLevel="0" collapsed="false">
      <c r="A52" s="4"/>
    </row>
    <row r="53" customFormat="false" ht="15.75" hidden="false" customHeight="false" outlineLevel="0" collapsed="false">
      <c r="A53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5.75" hidden="false" customHeight="false" outlineLevel="0" collapsed="false">
      <c r="A57" s="5"/>
      <c r="B57" s="12"/>
      <c r="C57" s="5"/>
      <c r="D57" s="5"/>
      <c r="E57" s="13"/>
      <c r="F57" s="13"/>
      <c r="G57" s="5"/>
      <c r="H57" s="14"/>
      <c r="I57" s="5"/>
      <c r="J57" s="5"/>
      <c r="K57" s="5"/>
    </row>
    <row r="58" customFormat="false" ht="15.75" hidden="false" customHeight="false" outlineLevel="0" collapsed="false">
      <c r="A58" s="4"/>
    </row>
    <row r="59" customFormat="false" ht="15.75" hidden="false" customHeight="false" outlineLevel="0" collapsed="false">
      <c r="A59" s="5"/>
    </row>
    <row r="60" customFormat="false" ht="15.75" hidden="false" customHeight="false" outlineLevel="0" collapsed="false">
      <c r="A60" s="4"/>
    </row>
    <row r="61" customFormat="false" ht="15.75" hidden="false" customHeight="false" outlineLevel="0" collapsed="false">
      <c r="A61" s="5"/>
    </row>
    <row r="62" customFormat="false" ht="15.75" hidden="false" customHeight="false" outlineLevel="0" collapsed="false">
      <c r="A62" s="4"/>
    </row>
    <row r="63" customFormat="false" ht="15.75" hidden="false" customHeight="false" outlineLevel="0" collapsed="false">
      <c r="A63" s="5"/>
    </row>
    <row r="64" customFormat="false" ht="15.75" hidden="false" customHeight="false" outlineLevel="0" collapsed="false">
      <c r="A64" s="4"/>
    </row>
    <row r="65" customFormat="false" ht="15.75" hidden="false" customHeight="false" outlineLevel="0" collapsed="false">
      <c r="A65" s="5"/>
    </row>
    <row r="66" customFormat="false" ht="15.75" hidden="false" customHeight="false" outlineLevel="0" collapsed="false">
      <c r="A66" s="4"/>
    </row>
    <row r="67" customFormat="false" ht="15.75" hidden="false" customHeight="false" outlineLevel="0" collapsed="false">
      <c r="A67" s="5"/>
    </row>
    <row r="68" customFormat="false" ht="15.75" hidden="false" customHeight="false" outlineLevel="0" collapsed="false">
      <c r="A68" s="4"/>
    </row>
    <row r="69" customFormat="false" ht="15.75" hidden="false" customHeight="false" outlineLevel="0" collapsed="false">
      <c r="A69" s="5"/>
    </row>
    <row r="70" customFormat="false" ht="15.75" hidden="false" customHeight="false" outlineLevel="0" collapsed="false">
      <c r="A70" s="4"/>
    </row>
    <row r="71" customFormat="false" ht="15.75" hidden="false" customHeight="false" outlineLevel="0" collapsed="false">
      <c r="A71" s="5"/>
    </row>
    <row r="72" customFormat="false" ht="15.75" hidden="false" customHeight="false" outlineLevel="0" collapsed="false">
      <c r="A72" s="4"/>
    </row>
    <row r="73" customFormat="false" ht="15.75" hidden="false" customHeight="false" outlineLevel="0" collapsed="false">
      <c r="A73" s="5"/>
    </row>
    <row r="74" customFormat="false" ht="15.75" hidden="false" customHeight="false" outlineLevel="0" collapsed="false">
      <c r="A74" s="5"/>
    </row>
    <row r="75" customFormat="false" ht="15.75" hidden="false" customHeight="false" outlineLevel="0" collapsed="false">
      <c r="A75" s="4"/>
    </row>
    <row r="76" customFormat="false" ht="15.75" hidden="false" customHeight="false" outlineLevel="0" collapsed="false">
      <c r="A76" s="5"/>
    </row>
    <row r="77" customFormat="false" ht="15.75" hidden="false" customHeight="false" outlineLevel="0" collapsed="false">
      <c r="A77" s="4"/>
    </row>
    <row r="78" customFormat="false" ht="15.75" hidden="false" customHeight="false" outlineLevel="0" collapsed="false">
      <c r="A78" s="5"/>
    </row>
    <row r="79" customFormat="false" ht="15.75" hidden="false" customHeight="false" outlineLevel="0" collapsed="false">
      <c r="A79" s="4"/>
    </row>
    <row r="80" customFormat="false" ht="15.75" hidden="false" customHeight="false" outlineLevel="0" collapsed="false">
      <c r="A80" s="5"/>
    </row>
    <row r="109" customFormat="false" ht="15.75" hidden="false" customHeight="false" outlineLevel="0" collapsed="false">
      <c r="C109" s="4"/>
      <c r="D109" s="4"/>
      <c r="E109" s="4"/>
      <c r="F109" s="4"/>
    </row>
    <row r="110" customFormat="false" ht="15.75" hidden="false" customHeight="false" outlineLevel="0" collapsed="false">
      <c r="B110" s="4"/>
      <c r="C110" s="4"/>
      <c r="D110" s="4"/>
      <c r="E110" s="4"/>
      <c r="F110" s="4"/>
    </row>
    <row r="111" customFormat="false" ht="15.75" hidden="false" customHeight="false" outlineLevel="0" collapsed="false">
      <c r="B111" s="4"/>
      <c r="C111" s="4"/>
      <c r="D111" s="4"/>
      <c r="E111" s="4"/>
      <c r="F111" s="4"/>
    </row>
    <row r="112" customFormat="false" ht="15.75" hidden="false" customHeight="false" outlineLevel="0" collapsed="false">
      <c r="B112" s="4"/>
      <c r="C112" s="4"/>
      <c r="D112" s="4"/>
      <c r="E112" s="4"/>
      <c r="F112" s="4"/>
    </row>
    <row r="113" customFormat="false" ht="15.75" hidden="false" customHeight="false" outlineLevel="0" collapsed="false">
      <c r="B113" s="4"/>
      <c r="C113" s="4"/>
      <c r="D113" s="4"/>
      <c r="E113" s="4"/>
      <c r="F113" s="4"/>
    </row>
    <row r="114" customFormat="false" ht="15.75" hidden="false" customHeight="false" outlineLevel="0" collapsed="false">
      <c r="B114" s="4"/>
      <c r="C114" s="4"/>
      <c r="D114" s="4"/>
      <c r="E114" s="4"/>
      <c r="F114" s="4"/>
    </row>
    <row r="115" customFormat="false" ht="15.75" hidden="false" customHeight="false" outlineLevel="0" collapsed="false">
      <c r="B115" s="4"/>
      <c r="C115" s="4"/>
      <c r="D115" s="4"/>
      <c r="E115" s="4"/>
      <c r="F115" s="4"/>
    </row>
    <row r="116" customFormat="false" ht="15.75" hidden="false" customHeight="false" outlineLevel="0" collapsed="false">
      <c r="B116" s="4"/>
      <c r="C116" s="4"/>
      <c r="D116" s="4"/>
      <c r="E116" s="4"/>
      <c r="F116" s="4"/>
    </row>
    <row r="117" customFormat="false" ht="15.75" hidden="false" customHeight="false" outlineLevel="0" collapsed="false">
      <c r="B117" s="4"/>
      <c r="C117" s="4"/>
      <c r="D117" s="4"/>
      <c r="E117" s="4"/>
      <c r="F117" s="4"/>
    </row>
    <row r="118" customFormat="false" ht="15.75" hidden="false" customHeight="false" outlineLevel="0" collapsed="false">
      <c r="B118" s="4"/>
      <c r="C118" s="4"/>
      <c r="D118" s="4"/>
      <c r="E118" s="4"/>
      <c r="F118" s="4"/>
    </row>
    <row r="119" customFormat="false" ht="15.75" hidden="false" customHeight="false" outlineLevel="0" collapsed="false">
      <c r="B119" s="4"/>
      <c r="C119" s="4"/>
      <c r="D119" s="4"/>
      <c r="E119" s="4"/>
      <c r="F119" s="4"/>
    </row>
    <row r="120" customFormat="false" ht="15.75" hidden="false" customHeight="false" outlineLevel="0" collapsed="false">
      <c r="B120" s="4"/>
      <c r="C120" s="4"/>
      <c r="D120" s="4"/>
      <c r="E120" s="4"/>
      <c r="F120" s="4"/>
    </row>
  </sheetData>
  <dataValidations count="1">
    <dataValidation allowBlank="true" errorStyle="stop" operator="between" showDropDown="false" showErrorMessage="true" showInputMessage="false" sqref="A2" type="list">
      <formula1>'Переформатированный ответ'!$N$2:$N$11</formula1>
      <formula2>0</formula2>
    </dataValidation>
  </dataValidations>
  <hyperlinks>
    <hyperlink ref="H4" r:id="rId1" display="http://vk.com/id293021806"/>
    <hyperlink ref="H5" r:id="rId2" display="http://vk.com/id326623716"/>
    <hyperlink ref="H6" r:id="rId3" display="http://vk.com/tillid"/>
    <hyperlink ref="H7" r:id="rId4" display="http://vk.com/juliya___z"/>
    <hyperlink ref="H8" r:id="rId5" display="http://vk.com/loiwwer"/>
    <hyperlink ref="H9" r:id="rId6" display="http://vk.com/idiamolya"/>
    <hyperlink ref="H10" r:id="rId7" display="http://vk.com/anitastashevskaya"/>
    <hyperlink ref="H11" r:id="rId8" display="http://vk.com/id281300280"/>
    <hyperlink ref="H12" r:id="rId9" display="http://vk.com/shefat"/>
    <hyperlink ref="H13" r:id="rId10" display="http://vk.com/id189704537"/>
    <hyperlink ref="H14" r:id="rId11" display="http://vk.com/werrewqr"/>
    <hyperlink ref="H15" r:id="rId12" display="http://vk.com/obeloz"/>
    <hyperlink ref="H16" r:id="rId13" display="http://vk.com/akushnareva2000"/>
    <hyperlink ref="H17" r:id="rId14" display="http://vk.com/svandrith"/>
    <hyperlink ref="H18" r:id="rId15" display="http://vk.com/id163053104"/>
    <hyperlink ref="H19" r:id="rId16" display="http://vk.com/id149548495"/>
    <hyperlink ref="H20" r:id="rId17" display="http://vk.com/lololen.gobz"/>
    <hyperlink ref="H21" r:id="rId18" display="http://vk.com/id189813664"/>
    <hyperlink ref="H22" r:id="rId19" display="http://vk.com/anna.kurbatova9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" activeCellId="0" sqref="D2"/>
    </sheetView>
  </sheetViews>
  <sheetFormatPr defaultColWidth="14.48046875" defaultRowHeight="15.75" zeroHeight="false" outlineLevelRow="0" outlineLevelCol="0"/>
  <cols>
    <col collapsed="false" customWidth="true" hidden="false" outlineLevel="0" max="4" min="4" style="0" width="5.29"/>
    <col collapsed="false" customWidth="true" hidden="false" outlineLevel="0" max="5" min="5" style="0" width="19.43"/>
    <col collapsed="false" customWidth="true" hidden="false" outlineLevel="0" max="6" min="6" style="0" width="18"/>
    <col collapsed="false" customWidth="true" hidden="false" outlineLevel="0" max="7" min="7" style="0" width="15.71"/>
    <col collapsed="false" customWidth="true" hidden="false" outlineLevel="0" max="8" min="8" style="0" width="25"/>
    <col collapsed="false" customWidth="true" hidden="false" outlineLevel="0" max="9" min="9" style="0" width="23.14"/>
    <col collapsed="false" customWidth="true" hidden="false" outlineLevel="0" max="10" min="10" style="0" width="23.42"/>
    <col collapsed="false" customWidth="true" hidden="false" outlineLevel="0" max="11" min="11" style="0" width="4.86"/>
    <col collapsed="false" customWidth="true" hidden="false" outlineLevel="0" max="12" min="12" style="0" width="12.71"/>
    <col collapsed="false" customWidth="true" hidden="false" outlineLevel="0" max="13" min="13" style="0" width="4.71"/>
    <col collapsed="false" customWidth="true" hidden="false" outlineLevel="0" max="14" min="14" style="0" width="29.29"/>
    <col collapsed="false" customWidth="true" hidden="false" outlineLevel="0" max="15" min="15" style="0" width="7.71"/>
    <col collapsed="false" customWidth="true" hidden="false" outlineLevel="0" max="38" min="17" style="0" width="5.14"/>
  </cols>
  <sheetData>
    <row r="1" customFormat="false" ht="15.7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10</v>
      </c>
      <c r="I1" s="0" t="s">
        <v>17</v>
      </c>
      <c r="J1" s="0" t="s">
        <v>18</v>
      </c>
      <c r="K1" s="4" t="s">
        <v>13</v>
      </c>
      <c r="L1" s="4" t="s">
        <v>19</v>
      </c>
      <c r="M1" s="4" t="n">
        <v>0</v>
      </c>
      <c r="Q1" s="15" t="n">
        <v>42922</v>
      </c>
      <c r="R1" s="15"/>
      <c r="S1" s="15" t="n">
        <v>42923</v>
      </c>
      <c r="T1" s="15"/>
      <c r="U1" s="15" t="n">
        <v>42924</v>
      </c>
      <c r="V1" s="15"/>
      <c r="W1" s="15" t="n">
        <v>42926</v>
      </c>
      <c r="X1" s="15"/>
      <c r="Y1" s="15" t="n">
        <v>42927</v>
      </c>
      <c r="Z1" s="15"/>
      <c r="AA1" s="15" t="n">
        <v>42929</v>
      </c>
      <c r="AB1" s="15"/>
      <c r="AC1" s="15" t="n">
        <v>42930</v>
      </c>
      <c r="AD1" s="15"/>
      <c r="AE1" s="15" t="n">
        <v>42932</v>
      </c>
      <c r="AF1" s="15"/>
      <c r="AG1" s="15" t="n">
        <v>42933</v>
      </c>
      <c r="AH1" s="15"/>
      <c r="AI1" s="15" t="n">
        <v>42934</v>
      </c>
      <c r="AJ1" s="15"/>
      <c r="AK1" s="16"/>
      <c r="AL1" s="16"/>
    </row>
    <row r="2" customFormat="false" ht="15.75" hidden="false" customHeight="false" outlineLevel="0" collapsed="false">
      <c r="A2" s="6" t="n">
        <f aca="false">Parse!A2</f>
        <v>42857.67924</v>
      </c>
      <c r="B2" s="17" t="str">
        <f aca="false">Parse!B2</f>
        <v>Власов</v>
      </c>
      <c r="C2" s="0" t="str">
        <f aca="false">Parse!C2</f>
        <v>Роман</v>
      </c>
      <c r="D2" s="0" t="n">
        <f aca="false">Parse!D2</f>
        <v>8</v>
      </c>
      <c r="E2" s="7" t="str">
        <f aca="false">Parse!E2</f>
        <v>БОУ ОО МОЦРО 117</v>
      </c>
      <c r="F2" s="0" t="n">
        <f aca="false">Parse!F2</f>
        <v>0</v>
      </c>
      <c r="G2" s="8" t="str">
        <f aca="false">IFERROR(MID(Parse!G2,SEARCH("vk.com",Parse!G2),LEN(Parse!G2)),Parse!G2)</f>
        <v>vk.com/agent024</v>
      </c>
      <c r="H2" s="0" t="str">
        <f aca="false">Parse!H2</f>
        <v>Optimys.prajm@mail.ru</v>
      </c>
      <c r="I2" s="0" t="str">
        <f aca="false">VLOOKUP(Parse!I2,$M$1:$N$11,2,FALSE())</f>
        <v>Программирование(Свет)</v>
      </c>
      <c r="J2" s="0" t="str">
        <f aca="false">VLOOKUP(Parse!J2,$M$1:$N$11,2,FALSE())</f>
        <v>Математика(Кудык)</v>
      </c>
      <c r="K2" s="4" t="n">
        <v>2</v>
      </c>
      <c r="M2" s="4" t="n">
        <v>1</v>
      </c>
      <c r="N2" s="4" t="s">
        <v>20</v>
      </c>
      <c r="O2" s="0" t="n">
        <f aca="false">IFERROR(__xludf.dummyfunction("COUNTIF(FILTER($I$2:$K$184,$K$2:$K$184&gt;-1),N2)"),24)</f>
        <v>24</v>
      </c>
      <c r="Q2" s="4" t="s">
        <v>21</v>
      </c>
      <c r="R2" s="4" t="s">
        <v>21</v>
      </c>
      <c r="S2" s="4" t="s">
        <v>21</v>
      </c>
      <c r="T2" s="4" t="s">
        <v>21</v>
      </c>
      <c r="U2" s="4" t="s">
        <v>21</v>
      </c>
      <c r="V2" s="4" t="s">
        <v>21</v>
      </c>
      <c r="W2" s="4" t="s">
        <v>21</v>
      </c>
      <c r="X2" s="4" t="s">
        <v>21</v>
      </c>
      <c r="Y2" s="4" t="s">
        <v>21</v>
      </c>
      <c r="Z2" s="4" t="s">
        <v>21</v>
      </c>
      <c r="AA2" s="4" t="s">
        <v>21</v>
      </c>
      <c r="AB2" s="4" t="s">
        <v>21</v>
      </c>
      <c r="AC2" s="4" t="s">
        <v>21</v>
      </c>
      <c r="AD2" s="4" t="s">
        <v>21</v>
      </c>
      <c r="AE2" s="4" t="s">
        <v>21</v>
      </c>
      <c r="AF2" s="4" t="s">
        <v>21</v>
      </c>
      <c r="AG2" s="4" t="s">
        <v>21</v>
      </c>
      <c r="AH2" s="4" t="s">
        <v>21</v>
      </c>
      <c r="AI2" s="4" t="s">
        <v>21</v>
      </c>
      <c r="AJ2" s="4" t="s">
        <v>21</v>
      </c>
      <c r="AK2" s="4" t="n">
        <f aca="false">COUNTIF(Q2:Z2,"+")</f>
        <v>10</v>
      </c>
      <c r="AL2" s="4" t="n">
        <f aca="false">COUNTIF(AA2:AJ2,"+")</f>
        <v>10</v>
      </c>
    </row>
    <row r="3" customFormat="false" ht="15.75" hidden="false" customHeight="false" outlineLevel="0" collapsed="false">
      <c r="A3" s="6" t="n">
        <f aca="false">Parse!A3</f>
        <v>42857.68582</v>
      </c>
      <c r="B3" s="18" t="str">
        <f aca="false">Parse!B3</f>
        <v>Нуркушева</v>
      </c>
      <c r="C3" s="0" t="str">
        <f aca="false">Parse!C3</f>
        <v>Данара</v>
      </c>
      <c r="D3" s="0" t="n">
        <f aca="false">Parse!D3</f>
        <v>10</v>
      </c>
      <c r="E3" s="7" t="str">
        <f aca="false">Parse!E3</f>
        <v>БОУ ОО "МОЦРО#117"</v>
      </c>
      <c r="F3" s="0" t="n">
        <f aca="false">Parse!F3</f>
        <v>0</v>
      </c>
      <c r="G3" s="8" t="str">
        <f aca="false">IFERROR(MID(Parse!G3,SEARCH("vk.com",Parse!G3),LEN(Parse!G3)),Parse!G3)</f>
        <v>vk.com/id55040621</v>
      </c>
      <c r="H3" s="0" t="str">
        <f aca="false">Parse!H3</f>
        <v>Danaranurkusheva@yandex.ru</v>
      </c>
      <c r="I3" s="0" t="str">
        <f aca="false">VLOOKUP(Parse!I3,$M$1:$N$11,2,FALSE())</f>
        <v>Право</v>
      </c>
      <c r="J3" s="0" t="str">
        <f aca="false">VLOOKUP(Parse!J3,$M$1:$N$11,2,FALSE())</f>
        <v>Испанский</v>
      </c>
      <c r="K3" s="4" t="n">
        <v>-2</v>
      </c>
      <c r="M3" s="4" t="n">
        <v>2</v>
      </c>
      <c r="N3" s="4" t="s">
        <v>16</v>
      </c>
      <c r="O3" s="0" t="n">
        <f aca="false">IFERROR(__xludf.dummyfunction("COUNTIF(FILTER($I$2:$K$184,$K$2:$K$184&gt;-1),N3)"),19)</f>
        <v>19</v>
      </c>
      <c r="AK3" s="4" t="n">
        <f aca="false">COUNTIF(Q3:Z3,"+")</f>
        <v>0</v>
      </c>
      <c r="AL3" s="4" t="n">
        <f aca="false">COUNTIF(AA3:AJ3,"+")</f>
        <v>0</v>
      </c>
    </row>
    <row r="4" customFormat="false" ht="15.75" hidden="false" customHeight="false" outlineLevel="0" collapsed="false">
      <c r="A4" s="6" t="n">
        <f aca="false">Parse!A4</f>
        <v>42857.69963</v>
      </c>
      <c r="B4" s="19" t="str">
        <f aca="false">Parse!B4</f>
        <v>Темерева</v>
      </c>
      <c r="C4" s="0" t="str">
        <f aca="false">Parse!C4</f>
        <v>Алиса</v>
      </c>
      <c r="D4" s="0" t="n">
        <f aca="false">Parse!D4</f>
        <v>9</v>
      </c>
      <c r="E4" s="7" t="str">
        <f aca="false">Parse!E4</f>
        <v>Гимназия № 117</v>
      </c>
      <c r="F4" s="0" t="n">
        <f aca="false">Parse!F4</f>
        <v>0</v>
      </c>
      <c r="G4" s="8" t="str">
        <f aca="false">IFERROR(MID(Parse!G4,SEARCH("vk.com",Parse!G4),LEN(Parse!G4)),Parse!G4)</f>
        <v>vk.com/alisatemereva</v>
      </c>
      <c r="H4" s="0" t="str">
        <f aca="false">Parse!H4</f>
        <v>Temerevaalisa@mail.ru</v>
      </c>
      <c r="I4" s="0" t="str">
        <f aca="false">VLOOKUP(Parse!I4,$M$1:$N$11,2,FALSE())</f>
        <v>Биоинформатика</v>
      </c>
      <c r="J4" s="0" t="str">
        <f aca="false">VLOOKUP(Parse!J4,$M$1:$N$11,2,FALSE())</f>
        <v>Математика(Строженко)</v>
      </c>
      <c r="K4" s="4" t="n">
        <v>2</v>
      </c>
      <c r="M4" s="4" t="n">
        <v>3</v>
      </c>
      <c r="N4" s="4" t="s">
        <v>22</v>
      </c>
      <c r="O4" s="0" t="n">
        <f aca="false">IFERROR(__xludf.dummyfunction("COUNTIF(FILTER($I$2:$K$184,$K$2:$K$184&gt;-1),N4)"),23)</f>
        <v>23</v>
      </c>
      <c r="Q4" s="4" t="s">
        <v>21</v>
      </c>
      <c r="R4" s="4" t="s">
        <v>21</v>
      </c>
      <c r="S4" s="4" t="s">
        <v>21</v>
      </c>
      <c r="T4" s="4" t="s">
        <v>21</v>
      </c>
      <c r="U4" s="4" t="s">
        <v>21</v>
      </c>
      <c r="V4" s="4" t="s">
        <v>21</v>
      </c>
      <c r="W4" s="4" t="s">
        <v>21</v>
      </c>
      <c r="X4" s="4" t="s">
        <v>21</v>
      </c>
      <c r="Y4" s="4" t="s">
        <v>21</v>
      </c>
      <c r="Z4" s="4" t="s">
        <v>21</v>
      </c>
      <c r="AA4" s="4" t="s">
        <v>21</v>
      </c>
      <c r="AB4" s="4" t="s">
        <v>21</v>
      </c>
      <c r="AC4" s="4" t="s">
        <v>23</v>
      </c>
      <c r="AD4" s="4" t="s">
        <v>23</v>
      </c>
      <c r="AE4" s="4" t="s">
        <v>23</v>
      </c>
      <c r="AF4" s="4" t="s">
        <v>23</v>
      </c>
      <c r="AG4" s="4" t="s">
        <v>23</v>
      </c>
      <c r="AH4" s="4" t="s">
        <v>23</v>
      </c>
      <c r="AI4" s="4" t="s">
        <v>23</v>
      </c>
      <c r="AJ4" s="4" t="s">
        <v>23</v>
      </c>
      <c r="AK4" s="4" t="n">
        <f aca="false">COUNTIF(Q4:Z4,"+")</f>
        <v>10</v>
      </c>
      <c r="AL4" s="4" t="n">
        <f aca="false">COUNTIF(AA4:AJ4,"+")</f>
        <v>2</v>
      </c>
    </row>
    <row r="5" customFormat="false" ht="15.75" hidden="false" customHeight="false" outlineLevel="0" collapsed="false">
      <c r="A5" s="6" t="n">
        <f aca="false">Parse!A6</f>
        <v>42857.69965</v>
      </c>
      <c r="B5" s="17" t="str">
        <f aca="false">Parse!B6</f>
        <v>Богданова</v>
      </c>
      <c r="C5" s="0" t="str">
        <f aca="false">Parse!C6</f>
        <v>Анастасия</v>
      </c>
      <c r="D5" s="0" t="n">
        <f aca="false">Parse!D6</f>
        <v>9</v>
      </c>
      <c r="E5" s="7" t="str">
        <f aca="false">Parse!E6</f>
        <v>БОУ ОО"МОЦРО 117"</v>
      </c>
      <c r="F5" s="0" t="n">
        <f aca="false">Parse!F6</f>
        <v>0</v>
      </c>
      <c r="G5" s="8" t="str">
        <f aca="false">IFERROR(MID(Parse!G6,SEARCH("vk.com",Parse!G6),LEN(Parse!G6)),Parse!G6)</f>
        <v>vk.com/id206813526</v>
      </c>
      <c r="H5" s="0" t="str">
        <f aca="false">Parse!H6</f>
        <v>Bogdanovaasya_2907@mail.ru</v>
      </c>
      <c r="I5" s="0" t="str">
        <f aca="false">VLOOKUP(Parse!I6,$M$1:$N$11,2,FALSE())</f>
        <v>Биоинформатика</v>
      </c>
      <c r="J5" s="0" t="str">
        <f aca="false">VLOOKUP(Parse!J6,$M$1:$N$11,2,FALSE())</f>
        <v>Математика(Кудык)</v>
      </c>
      <c r="K5" s="4" t="n">
        <v>2</v>
      </c>
      <c r="M5" s="4" t="n">
        <v>4</v>
      </c>
      <c r="N5" s="4" t="s">
        <v>24</v>
      </c>
      <c r="O5" s="0" t="n">
        <f aca="false">IFERROR(__xludf.dummyfunction("COUNTIF(FILTER($I$2:$K$184,$K$2:$K$184&gt;-1),N5)"),34)</f>
        <v>34</v>
      </c>
      <c r="Q5" s="4" t="s">
        <v>21</v>
      </c>
      <c r="R5" s="4" t="s">
        <v>21</v>
      </c>
      <c r="S5" s="4" t="s">
        <v>21</v>
      </c>
      <c r="T5" s="4" t="s">
        <v>21</v>
      </c>
      <c r="U5" s="4" t="s">
        <v>21</v>
      </c>
      <c r="V5" s="4" t="s">
        <v>21</v>
      </c>
      <c r="W5" s="4" t="s">
        <v>21</v>
      </c>
      <c r="X5" s="4" t="s">
        <v>21</v>
      </c>
      <c r="Y5" s="4" t="s">
        <v>21</v>
      </c>
      <c r="Z5" s="4" t="s">
        <v>21</v>
      </c>
      <c r="AA5" s="4" t="s">
        <v>21</v>
      </c>
      <c r="AB5" s="4" t="s">
        <v>21</v>
      </c>
      <c r="AC5" s="4" t="s">
        <v>21</v>
      </c>
      <c r="AD5" s="4" t="s">
        <v>21</v>
      </c>
      <c r="AE5" s="4" t="s">
        <v>21</v>
      </c>
      <c r="AF5" s="4" t="s">
        <v>21</v>
      </c>
      <c r="AG5" s="4" t="s">
        <v>21</v>
      </c>
      <c r="AH5" s="4" t="s">
        <v>21</v>
      </c>
      <c r="AI5" s="4" t="s">
        <v>21</v>
      </c>
      <c r="AJ5" s="4" t="s">
        <v>21</v>
      </c>
      <c r="AK5" s="4" t="n">
        <f aca="false">COUNTIF(Q5:Z5,"+")</f>
        <v>10</v>
      </c>
      <c r="AL5" s="4" t="n">
        <f aca="false">COUNTIF(AA5:AJ5,"+")</f>
        <v>10</v>
      </c>
    </row>
    <row r="6" customFormat="false" ht="15.75" hidden="false" customHeight="false" outlineLevel="0" collapsed="false">
      <c r="A6" s="6" t="n">
        <f aca="false">Parse!A7</f>
        <v>42857.70739</v>
      </c>
      <c r="B6" s="19" t="str">
        <f aca="false">Parse!B7</f>
        <v>Тулинская</v>
      </c>
      <c r="C6" s="0" t="str">
        <f aca="false">Parse!C7</f>
        <v>Джессика</v>
      </c>
      <c r="D6" s="0" t="n">
        <f aca="false">Parse!D7</f>
        <v>10</v>
      </c>
      <c r="E6" s="7" t="str">
        <f aca="false">Parse!E7</f>
        <v>Лицей 54</v>
      </c>
      <c r="F6" s="0" t="n">
        <f aca="false">Parse!F7</f>
        <v>0</v>
      </c>
      <c r="G6" s="8" t="str">
        <f aca="false">IFERROR(MID(Parse!G7,SEARCH("vk.com",Parse!G7),LEN(Parse!G7)),Parse!G7)</f>
        <v>vk.com/jess41359473</v>
      </c>
      <c r="H6" s="0" t="str">
        <f aca="false">Parse!H7</f>
        <v>aprelka_25@mail.ru</v>
      </c>
      <c r="I6" s="0" t="str">
        <f aca="false">VLOOKUP(Parse!I7,$M$1:$N$11,2,FALSE())</f>
        <v>Испанский</v>
      </c>
      <c r="J6" s="0" t="str">
        <f aca="false">VLOOKUP(Parse!J7,$M$1:$N$11,2,FALSE())</f>
        <v>Экономика</v>
      </c>
      <c r="K6" s="4" t="n">
        <v>2</v>
      </c>
      <c r="M6" s="4" t="n">
        <v>5</v>
      </c>
      <c r="N6" s="4" t="s">
        <v>2</v>
      </c>
      <c r="O6" s="0" t="n">
        <f aca="false">IFERROR(__xludf.dummyfunction("COUNTIF(FILTER($I$2:$K$184,$K$2:$K$184&gt;-1),N6)"),16)</f>
        <v>16</v>
      </c>
      <c r="Q6" s="4" t="s">
        <v>21</v>
      </c>
      <c r="R6" s="4" t="s">
        <v>21</v>
      </c>
      <c r="S6" s="4" t="s">
        <v>21</v>
      </c>
      <c r="T6" s="4" t="s">
        <v>21</v>
      </c>
      <c r="U6" s="4" t="s">
        <v>21</v>
      </c>
      <c r="V6" s="4" t="s">
        <v>21</v>
      </c>
      <c r="W6" s="4" t="s">
        <v>21</v>
      </c>
      <c r="X6" s="4" t="s">
        <v>21</v>
      </c>
      <c r="Y6" s="4" t="s">
        <v>21</v>
      </c>
      <c r="Z6" s="4" t="s">
        <v>21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n">
        <f aca="false">COUNTIF(Q6:Z6,"+")</f>
        <v>10</v>
      </c>
      <c r="AL6" s="4" t="n">
        <f aca="false">COUNTIF(AA6:AJ6,"+")</f>
        <v>10</v>
      </c>
    </row>
    <row r="7" customFormat="false" ht="15.75" hidden="false" customHeight="false" outlineLevel="0" collapsed="false">
      <c r="A7" s="6" t="n">
        <f aca="false">Parse!A8</f>
        <v>42857.72005</v>
      </c>
      <c r="B7" s="18" t="str">
        <f aca="false">Parse!B8</f>
        <v>Анисимков</v>
      </c>
      <c r="C7" s="0" t="str">
        <f aca="false">Parse!C8</f>
        <v>Степан</v>
      </c>
      <c r="D7" s="0" t="n">
        <f aca="false">Parse!D8</f>
        <v>9</v>
      </c>
      <c r="E7" s="7" t="str">
        <f aca="false">Parse!E8</f>
        <v>159</v>
      </c>
      <c r="F7" s="0" t="n">
        <f aca="false">Parse!F8</f>
        <v>0</v>
      </c>
      <c r="G7" s="8" t="str">
        <f aca="false">IFERROR(MID(Parse!G8,SEARCH("vk.com",Parse!G8),LEN(Parse!G8)),Parse!G8)</f>
        <v>vk.com/id293021806</v>
      </c>
      <c r="H7" s="0" t="str">
        <f aca="false">Parse!H8</f>
        <v>stepa100023@gmail.com</v>
      </c>
      <c r="I7" s="0" t="str">
        <f aca="false">VLOOKUP(Parse!I8,$M$1:$N$11,2,FALSE())</f>
        <v>Физика(Шумаков)</v>
      </c>
      <c r="J7" s="0" t="str">
        <f aca="false">VLOOKUP(Parse!J8,$M$1:$N$11,2,FALSE())</f>
        <v>Математика(Строженко)</v>
      </c>
      <c r="K7" s="4" t="n">
        <v>2</v>
      </c>
      <c r="M7" s="4" t="n">
        <v>6</v>
      </c>
      <c r="N7" s="4" t="s">
        <v>25</v>
      </c>
      <c r="O7" s="0" t="n">
        <f aca="false">IFERROR(__xludf.dummyfunction("COUNTIF(FILTER($I$2:$K$184,$K$2:$K$184&gt;-1),N7)"),12)</f>
        <v>12</v>
      </c>
      <c r="Q7" s="4" t="s">
        <v>21</v>
      </c>
      <c r="R7" s="4" t="s">
        <v>21</v>
      </c>
      <c r="S7" s="4" t="s">
        <v>21</v>
      </c>
      <c r="T7" s="4" t="s">
        <v>21</v>
      </c>
      <c r="U7" s="4" t="s">
        <v>21</v>
      </c>
      <c r="V7" s="4" t="s">
        <v>21</v>
      </c>
      <c r="W7" s="4" t="s">
        <v>23</v>
      </c>
      <c r="X7" s="4" t="s">
        <v>23</v>
      </c>
      <c r="Y7" s="4" t="s">
        <v>21</v>
      </c>
      <c r="Z7" s="4" t="s">
        <v>21</v>
      </c>
      <c r="AA7" s="4" t="s">
        <v>21</v>
      </c>
      <c r="AB7" s="4" t="s">
        <v>21</v>
      </c>
      <c r="AC7" s="4" t="s">
        <v>21</v>
      </c>
      <c r="AD7" s="4" t="s">
        <v>21</v>
      </c>
      <c r="AE7" s="4" t="s">
        <v>23</v>
      </c>
      <c r="AF7" s="4" t="s">
        <v>23</v>
      </c>
      <c r="AG7" s="4" t="s">
        <v>23</v>
      </c>
      <c r="AH7" s="4" t="s">
        <v>23</v>
      </c>
      <c r="AI7" s="4" t="s">
        <v>23</v>
      </c>
      <c r="AJ7" s="4" t="s">
        <v>23</v>
      </c>
      <c r="AK7" s="4" t="n">
        <f aca="false">COUNTIF(Q7:Z7,"+")</f>
        <v>8</v>
      </c>
      <c r="AL7" s="4" t="n">
        <f aca="false">COUNTIF(AA7:AJ7,"+")</f>
        <v>4</v>
      </c>
    </row>
    <row r="8" customFormat="false" ht="15.75" hidden="false" customHeight="false" outlineLevel="0" collapsed="false">
      <c r="A8" s="6" t="n">
        <f aca="false">Parse!A9</f>
        <v>42857.82586</v>
      </c>
      <c r="B8" s="19" t="str">
        <f aca="false">Parse!B9</f>
        <v>Прохоров</v>
      </c>
      <c r="C8" s="0" t="str">
        <f aca="false">Parse!C9</f>
        <v>Сергей</v>
      </c>
      <c r="D8" s="0" t="n">
        <f aca="false">Parse!D9</f>
        <v>7</v>
      </c>
      <c r="E8" s="7" t="str">
        <f aca="false">Parse!E9</f>
        <v>Гимназия 139</v>
      </c>
      <c r="F8" s="0" t="n">
        <f aca="false">Parse!F9</f>
        <v>0</v>
      </c>
      <c r="G8" s="8" t="str">
        <f aca="false">IFERROR(MID(Parse!G9,SEARCH("vk.com",Parse!G9),LEN(Parse!G9)),Parse!G9)</f>
        <v>vk.com/id326623716</v>
      </c>
      <c r="H8" s="0" t="str">
        <f aca="false">Parse!H9</f>
        <v>sergeypro@inbox.ru</v>
      </c>
      <c r="I8" s="0" t="str">
        <f aca="false">VLOOKUP(Parse!I9,$M$1:$N$11,2,FALSE())</f>
        <v>Программирование(Свет)</v>
      </c>
      <c r="J8" s="0" t="str">
        <f aca="false">VLOOKUP(Parse!J9,$M$1:$N$11,2,FALSE())</f>
        <v>Физика(Шумаков)</v>
      </c>
      <c r="K8" s="4" t="n">
        <v>2</v>
      </c>
      <c r="M8" s="4" t="n">
        <v>7</v>
      </c>
      <c r="N8" s="4" t="s">
        <v>26</v>
      </c>
      <c r="O8" s="0" t="n">
        <f aca="false">IFERROR(__xludf.dummyfunction("COUNTIF(FILTER($I$2:$K$184,$K$2:$K$184&gt;-1),N8)"),17)</f>
        <v>17</v>
      </c>
      <c r="Q8" s="4" t="s">
        <v>21</v>
      </c>
      <c r="R8" s="4" t="s">
        <v>21</v>
      </c>
      <c r="S8" s="4" t="s">
        <v>21</v>
      </c>
      <c r="T8" s="4" t="s">
        <v>21</v>
      </c>
      <c r="U8" s="4" t="s">
        <v>21</v>
      </c>
      <c r="V8" s="4" t="s">
        <v>21</v>
      </c>
      <c r="W8" s="4" t="s">
        <v>21</v>
      </c>
      <c r="X8" s="4" t="s">
        <v>21</v>
      </c>
      <c r="Y8" s="4" t="s">
        <v>21</v>
      </c>
      <c r="Z8" s="4" t="s">
        <v>21</v>
      </c>
      <c r="AA8" s="4" t="s">
        <v>21</v>
      </c>
      <c r="AB8" s="4" t="s">
        <v>21</v>
      </c>
      <c r="AC8" s="4" t="s">
        <v>21</v>
      </c>
      <c r="AD8" s="4" t="s">
        <v>21</v>
      </c>
      <c r="AE8" s="4" t="s">
        <v>21</v>
      </c>
      <c r="AF8" s="4" t="s">
        <v>21</v>
      </c>
      <c r="AG8" s="4" t="s">
        <v>21</v>
      </c>
      <c r="AH8" s="4" t="s">
        <v>21</v>
      </c>
      <c r="AI8" s="4" t="s">
        <v>21</v>
      </c>
      <c r="AJ8" s="4" t="s">
        <v>21</v>
      </c>
      <c r="AK8" s="4" t="n">
        <f aca="false">COUNTIF(Q8:Z8,"+")</f>
        <v>10</v>
      </c>
      <c r="AL8" s="4" t="n">
        <f aca="false">COUNTIF(AA8:AJ8,"+")</f>
        <v>10</v>
      </c>
    </row>
    <row r="9" customFormat="false" ht="15.75" hidden="false" customHeight="false" outlineLevel="0" collapsed="false">
      <c r="A9" s="6" t="n">
        <f aca="false">Parse!A10</f>
        <v>42857.8408</v>
      </c>
      <c r="B9" s="17" t="str">
        <f aca="false">Parse!B10</f>
        <v>Сушкова</v>
      </c>
      <c r="C9" s="0" t="str">
        <f aca="false">Parse!C10</f>
        <v>Ирина</v>
      </c>
      <c r="D9" s="0" t="n">
        <f aca="false">Parse!D10</f>
        <v>9</v>
      </c>
      <c r="E9" s="7" t="str">
        <f aca="false">Parse!E10</f>
        <v>БОУ ОО "МОЦРО 117"</v>
      </c>
      <c r="F9" s="0" t="n">
        <f aca="false">Parse!F10</f>
        <v>0</v>
      </c>
      <c r="G9" s="8" t="str">
        <f aca="false">IFERROR(MID(Parse!G10,SEARCH("vk.com",Parse!G10),LEN(Parse!G10)),Parse!G10)</f>
        <v>vk.com/id402259781</v>
      </c>
      <c r="H9" s="0" t="str">
        <f aca="false">Parse!H10</f>
        <v>suirma@mail.ru</v>
      </c>
      <c r="I9" s="0" t="str">
        <f aca="false">VLOOKUP(Parse!I10,$M$1:$N$11,2,FALSE())</f>
        <v>Биоинформатика</v>
      </c>
      <c r="J9" s="0" t="str">
        <f aca="false">VLOOKUP(Parse!J10,$M$1:$N$11,2,FALSE())</f>
        <v>Математика(Кудык)</v>
      </c>
      <c r="K9" s="4" t="n">
        <v>2</v>
      </c>
      <c r="M9" s="4" t="n">
        <v>8</v>
      </c>
      <c r="N9" s="4" t="s">
        <v>27</v>
      </c>
      <c r="O9" s="0" t="n">
        <f aca="false">IFERROR(__xludf.dummyfunction("COUNTIF(FILTER($I$2:$K$184,$K$2:$K$184&gt;-1),N9)"),27)</f>
        <v>27</v>
      </c>
      <c r="Q9" s="4" t="s">
        <v>23</v>
      </c>
      <c r="R9" s="4" t="s">
        <v>23</v>
      </c>
      <c r="S9" s="4" t="s">
        <v>21</v>
      </c>
      <c r="T9" s="4" t="s">
        <v>21</v>
      </c>
      <c r="U9" s="4" t="s">
        <v>21</v>
      </c>
      <c r="V9" s="4" t="s">
        <v>21</v>
      </c>
      <c r="W9" s="4" t="s">
        <v>21</v>
      </c>
      <c r="X9" s="4" t="s">
        <v>21</v>
      </c>
      <c r="Y9" s="4" t="s">
        <v>21</v>
      </c>
      <c r="Z9" s="4" t="s">
        <v>21</v>
      </c>
      <c r="AA9" s="4" t="s">
        <v>23</v>
      </c>
      <c r="AB9" s="4" t="s">
        <v>23</v>
      </c>
      <c r="AC9" s="4" t="s">
        <v>21</v>
      </c>
      <c r="AD9" s="4" t="s">
        <v>21</v>
      </c>
      <c r="AE9" s="4" t="s">
        <v>21</v>
      </c>
      <c r="AF9" s="4" t="s">
        <v>21</v>
      </c>
      <c r="AG9" s="4" t="s">
        <v>21</v>
      </c>
      <c r="AH9" s="4" t="s">
        <v>21</v>
      </c>
      <c r="AI9" s="4" t="s">
        <v>21</v>
      </c>
      <c r="AJ9" s="4" t="s">
        <v>21</v>
      </c>
      <c r="AK9" s="4" t="n">
        <f aca="false">COUNTIF(Q9:Z9,"+")</f>
        <v>8</v>
      </c>
      <c r="AL9" s="4" t="n">
        <f aca="false">COUNTIF(AA9:AJ9,"+")</f>
        <v>8</v>
      </c>
    </row>
    <row r="10" customFormat="false" ht="15.75" hidden="false" customHeight="false" outlineLevel="0" collapsed="false">
      <c r="A10" s="6" t="n">
        <f aca="false">Parse!A11</f>
        <v>42857.93818</v>
      </c>
      <c r="B10" s="19" t="str">
        <f aca="false">Parse!B11</f>
        <v>Лазарев</v>
      </c>
      <c r="C10" s="0" t="str">
        <f aca="false">Parse!C11</f>
        <v>Анатолий</v>
      </c>
      <c r="D10" s="0" t="n">
        <f aca="false">Parse!D11</f>
        <v>9</v>
      </c>
      <c r="E10" s="7" t="str">
        <f aca="false">Parse!E11</f>
        <v>116</v>
      </c>
      <c r="F10" s="0" t="n">
        <f aca="false">Parse!F11</f>
        <v>0</v>
      </c>
      <c r="G10" s="8" t="str">
        <f aca="false">IFERROR(MID(Parse!G11,SEARCH("vk.com",Parse!G11),LEN(Parse!G11)),Parse!G11)</f>
        <v>vk.com/tillid</v>
      </c>
      <c r="H10" s="0" t="str">
        <f aca="false">Parse!H11</f>
        <v>lazarevl2001@gmail.com</v>
      </c>
      <c r="I10" s="0" t="str">
        <f aca="false">VLOOKUP(Parse!I11,$M$1:$N$11,2,FALSE())</f>
        <v>Физика(Шумаков)</v>
      </c>
      <c r="J10" s="0" t="str">
        <f aca="false">VLOOKUP(Parse!J11,$M$1:$N$11,2,FALSE())</f>
        <v>Экономика</v>
      </c>
      <c r="K10" s="4" t="n">
        <v>1</v>
      </c>
      <c r="L10" s="4" t="s">
        <v>28</v>
      </c>
      <c r="M10" s="4" t="n">
        <v>9</v>
      </c>
      <c r="N10" s="4" t="s">
        <v>29</v>
      </c>
      <c r="O10" s="0" t="n">
        <f aca="false">IFERROR(__xludf.dummyfunction("COUNTIF(FILTER($I$2:$K$184,$K$2:$K$184&gt;-1),N10)"),19)</f>
        <v>19</v>
      </c>
      <c r="P10" s="4"/>
      <c r="Q10" s="4" t="s">
        <v>21</v>
      </c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4" t="s">
        <v>23</v>
      </c>
      <c r="X10" s="4" t="s">
        <v>21</v>
      </c>
      <c r="Y10" s="4" t="s">
        <v>21</v>
      </c>
      <c r="Z10" s="4" t="s">
        <v>21</v>
      </c>
      <c r="AA10" s="4" t="s">
        <v>21</v>
      </c>
      <c r="AB10" s="4" t="s">
        <v>21</v>
      </c>
      <c r="AC10" s="4" t="s">
        <v>21</v>
      </c>
      <c r="AD10" s="4" t="s">
        <v>21</v>
      </c>
      <c r="AE10" s="4" t="s">
        <v>21</v>
      </c>
      <c r="AF10" s="4" t="s">
        <v>21</v>
      </c>
      <c r="AG10" s="4" t="s">
        <v>21</v>
      </c>
      <c r="AH10" s="4" t="s">
        <v>21</v>
      </c>
      <c r="AI10" s="4" t="s">
        <v>21</v>
      </c>
      <c r="AJ10" s="4" t="s">
        <v>21</v>
      </c>
      <c r="AK10" s="4" t="n">
        <f aca="false">COUNTIF(Q10:Z10,"+")</f>
        <v>9</v>
      </c>
      <c r="AL10" s="4" t="n">
        <f aca="false">COUNTIF(AA10:AJ10,"+")</f>
        <v>10</v>
      </c>
    </row>
    <row r="11" customFormat="false" ht="15.75" hidden="false" customHeight="false" outlineLevel="0" collapsed="false">
      <c r="A11" s="6" t="n">
        <f aca="false">Parse!A12</f>
        <v>42858.24511</v>
      </c>
      <c r="B11" s="20" t="str">
        <f aca="false">Parse!B12</f>
        <v>Затолоцкая</v>
      </c>
      <c r="C11" s="0" t="str">
        <f aca="false">Parse!C12</f>
        <v>Юлия</v>
      </c>
      <c r="D11" s="0" t="n">
        <f aca="false">Parse!D12</f>
        <v>10</v>
      </c>
      <c r="E11" s="7" t="str">
        <f aca="false">Parse!E12</f>
        <v>СУНЦ НГУ</v>
      </c>
      <c r="F11" s="0" t="n">
        <f aca="false">Parse!F12</f>
        <v>0</v>
      </c>
      <c r="G11" s="8" t="str">
        <f aca="false">IFERROR(MID(Parse!G12,SEARCH("vk.com",Parse!G12),LEN(Parse!G12)),Parse!G12)</f>
        <v>vk.com/juliya___z</v>
      </c>
      <c r="H11" s="0" t="str">
        <f aca="false">Parse!H12</f>
        <v>Zatolockaya11@mail.ru</v>
      </c>
      <c r="I11" s="0" t="str">
        <f aca="false">VLOOKUP(Parse!I12,$M$1:$N$11,2,FALSE())</f>
        <v>Физика(Шумаков)</v>
      </c>
      <c r="J11" s="0" t="str">
        <f aca="false">VLOOKUP(Parse!J12,$M$1:$N$11,2,FALSE())</f>
        <v>Программирование(Шульга)</v>
      </c>
      <c r="K11" s="4" t="n">
        <v>2</v>
      </c>
      <c r="M11" s="4" t="n">
        <v>10</v>
      </c>
      <c r="N11" s="4" t="s">
        <v>30</v>
      </c>
      <c r="O11" s="0" t="n">
        <f aca="false">IFERROR(__xludf.dummyfunction("COUNTIF(FILTER($I$2:$K$184,$K$2:$K$184&gt;-1),N11)"),26)</f>
        <v>26</v>
      </c>
      <c r="Q11" s="4" t="s">
        <v>21</v>
      </c>
      <c r="R11" s="4" t="s">
        <v>21</v>
      </c>
      <c r="S11" s="4" t="s">
        <v>21</v>
      </c>
      <c r="T11" s="4" t="s">
        <v>21</v>
      </c>
      <c r="U11" s="4" t="s">
        <v>21</v>
      </c>
      <c r="V11" s="4" t="s">
        <v>21</v>
      </c>
      <c r="W11" s="4" t="s">
        <v>21</v>
      </c>
      <c r="X11" s="4" t="s">
        <v>21</v>
      </c>
      <c r="Y11" s="4" t="s">
        <v>21</v>
      </c>
      <c r="Z11" s="4" t="s">
        <v>21</v>
      </c>
      <c r="AA11" s="4" t="s">
        <v>21</v>
      </c>
      <c r="AB11" s="4" t="s">
        <v>21</v>
      </c>
      <c r="AC11" s="4" t="s">
        <v>21</v>
      </c>
      <c r="AD11" s="4" t="s">
        <v>21</v>
      </c>
      <c r="AE11" s="4" t="s">
        <v>21</v>
      </c>
      <c r="AF11" s="4" t="s">
        <v>21</v>
      </c>
      <c r="AG11" s="4" t="s">
        <v>21</v>
      </c>
      <c r="AH11" s="4" t="s">
        <v>21</v>
      </c>
      <c r="AI11" s="4" t="s">
        <v>21</v>
      </c>
      <c r="AJ11" s="4" t="s">
        <v>21</v>
      </c>
      <c r="AK11" s="4" t="n">
        <f aca="false">COUNTIF(Q11:Z11,"+")</f>
        <v>10</v>
      </c>
      <c r="AL11" s="4" t="n">
        <f aca="false">COUNTIF(AA11:AJ11,"+")</f>
        <v>10</v>
      </c>
    </row>
    <row r="12" customFormat="false" ht="15.75" hidden="false" customHeight="false" outlineLevel="0" collapsed="false">
      <c r="A12" s="6" t="n">
        <f aca="false">Parse!A13</f>
        <v>42858.59373</v>
      </c>
      <c r="B12" s="19" t="str">
        <f aca="false">Parse!B13</f>
        <v>Цалко</v>
      </c>
      <c r="C12" s="0" t="str">
        <f aca="false">Parse!C13</f>
        <v>Анастасия</v>
      </c>
      <c r="D12" s="0" t="n">
        <f aca="false">Parse!D13</f>
        <v>7</v>
      </c>
      <c r="E12" s="7" t="str">
        <f aca="false">Parse!E13</f>
        <v>61</v>
      </c>
      <c r="F12" s="0" t="n">
        <f aca="false">Parse!F13</f>
        <v>0</v>
      </c>
      <c r="G12" s="8" t="str">
        <f aca="false">IFERROR(MID(Parse!G13,SEARCH("vk.com",Parse!G13),LEN(Parse!G13)),Parse!G13)</f>
        <v>vk.com/id166902078</v>
      </c>
      <c r="H12" s="0" t="str">
        <f aca="false">Parse!H13</f>
        <v>lena.tsalko.71@mail.ru</v>
      </c>
      <c r="I12" s="0" t="str">
        <f aca="false">VLOOKUP(Parse!I13,$M$1:$N$11,2,FALSE())</f>
        <v>Математика(Кудык)</v>
      </c>
      <c r="J12" s="0" t="str">
        <f aca="false">VLOOKUP(Parse!J13,$M$1:$N$11,2,FALSE())</f>
        <v>Биоинформатика</v>
      </c>
      <c r="K12" s="4" t="n">
        <v>2</v>
      </c>
      <c r="M12" s="4"/>
      <c r="O12" s="0" t="n">
        <f aca="false">COUNTIF(K2:K184,"&gt;-1")</f>
        <v>119</v>
      </c>
      <c r="Q12" s="4" t="s">
        <v>21</v>
      </c>
      <c r="R12" s="4" t="s">
        <v>21</v>
      </c>
      <c r="S12" s="4" t="s">
        <v>21</v>
      </c>
      <c r="T12" s="4" t="s">
        <v>21</v>
      </c>
      <c r="U12" s="4" t="s">
        <v>23</v>
      </c>
      <c r="V12" s="4" t="s">
        <v>23</v>
      </c>
      <c r="W12" s="4" t="s">
        <v>23</v>
      </c>
      <c r="X12" s="4" t="s">
        <v>23</v>
      </c>
      <c r="Y12" s="4" t="s">
        <v>23</v>
      </c>
      <c r="Z12" s="4" t="s">
        <v>23</v>
      </c>
      <c r="AA12" s="4" t="s">
        <v>23</v>
      </c>
      <c r="AB12" s="4" t="s">
        <v>23</v>
      </c>
      <c r="AC12" s="4" t="s">
        <v>23</v>
      </c>
      <c r="AD12" s="4" t="s">
        <v>23</v>
      </c>
      <c r="AE12" s="4" t="s">
        <v>23</v>
      </c>
      <c r="AF12" s="4" t="s">
        <v>23</v>
      </c>
      <c r="AG12" s="4" t="s">
        <v>23</v>
      </c>
      <c r="AH12" s="4" t="s">
        <v>23</v>
      </c>
      <c r="AI12" s="4" t="s">
        <v>23</v>
      </c>
      <c r="AJ12" s="4" t="s">
        <v>23</v>
      </c>
      <c r="AK12" s="4" t="n">
        <f aca="false">COUNTIF(Q12:Z12,"+")</f>
        <v>4</v>
      </c>
      <c r="AL12" s="4" t="n">
        <f aca="false">COUNTIF(AA12:AJ12,"+")</f>
        <v>0</v>
      </c>
    </row>
    <row r="13" customFormat="false" ht="15.75" hidden="false" customHeight="false" outlineLevel="0" collapsed="false">
      <c r="A13" s="6" t="n">
        <f aca="false">Parse!A14</f>
        <v>42858.75077</v>
      </c>
      <c r="B13" s="18" t="str">
        <f aca="false">Parse!B14</f>
        <v>Киямова</v>
      </c>
      <c r="C13" s="0" t="str">
        <f aca="false">Parse!C14</f>
        <v>Наиля</v>
      </c>
      <c r="D13" s="0" t="n">
        <f aca="false">Parse!D14</f>
        <v>9</v>
      </c>
      <c r="E13" s="7" t="str">
        <f aca="false">Parse!E14</f>
        <v>лицей 64</v>
      </c>
      <c r="F13" s="0" t="str">
        <f aca="false">Parse!F14</f>
        <v>Могу не появляться на занятиях, но постараюсь без этого.</v>
      </c>
      <c r="G13" s="8" t="str">
        <f aca="false">IFERROR(MID(Parse!G14,SEARCH("vk.com",Parse!G14),LEN(Parse!G14)),Parse!G14)</f>
        <v>vk.com/loiwwer</v>
      </c>
      <c r="H13" s="0" t="str">
        <f aca="false">Parse!H14</f>
        <v>nkom5507@gmail.com</v>
      </c>
      <c r="I13" s="0" t="str">
        <f aca="false">VLOOKUP(Parse!I14,$M$1:$N$11,2,FALSE())</f>
        <v>Программирование(Свет)</v>
      </c>
      <c r="J13" s="0" t="str">
        <f aca="false">VLOOKUP(Parse!J14,$M$1:$N$11,2,FALSE())</f>
        <v>Физика(Шумаков)</v>
      </c>
      <c r="K13" s="4" t="n">
        <v>2</v>
      </c>
      <c r="M13" s="4"/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23</v>
      </c>
      <c r="V13" s="4" t="s">
        <v>23</v>
      </c>
      <c r="W13" s="4" t="s">
        <v>23</v>
      </c>
      <c r="X13" s="4" t="s">
        <v>23</v>
      </c>
      <c r="Y13" s="4" t="s">
        <v>23</v>
      </c>
      <c r="Z13" s="4" t="s">
        <v>23</v>
      </c>
      <c r="AA13" s="4" t="s">
        <v>23</v>
      </c>
      <c r="AB13" s="4" t="s">
        <v>23</v>
      </c>
      <c r="AC13" s="4" t="s">
        <v>23</v>
      </c>
      <c r="AD13" s="4" t="s">
        <v>23</v>
      </c>
      <c r="AE13" s="4" t="s">
        <v>23</v>
      </c>
      <c r="AF13" s="4" t="s">
        <v>23</v>
      </c>
      <c r="AG13" s="4" t="s">
        <v>23</v>
      </c>
      <c r="AH13" s="4" t="s">
        <v>23</v>
      </c>
      <c r="AI13" s="4" t="s">
        <v>23</v>
      </c>
      <c r="AJ13" s="4" t="s">
        <v>23</v>
      </c>
      <c r="AK13" s="4" t="n">
        <f aca="false">COUNTIF(Q13:Z13,"+")</f>
        <v>0</v>
      </c>
      <c r="AL13" s="4" t="n">
        <f aca="false">COUNTIF(AA13:AJ13,"+")</f>
        <v>0</v>
      </c>
    </row>
    <row r="14" customFormat="false" ht="15.75" hidden="false" customHeight="false" outlineLevel="0" collapsed="false">
      <c r="A14" s="6" t="n">
        <f aca="false">Parse!A15</f>
        <v>42858.76921</v>
      </c>
      <c r="B14" s="17" t="str">
        <f aca="false">Parse!B15</f>
        <v>Гриценко</v>
      </c>
      <c r="C14" s="0" t="str">
        <f aca="false">Parse!C15</f>
        <v>Ольга</v>
      </c>
      <c r="D14" s="0" t="n">
        <f aca="false">Parse!D15</f>
        <v>10</v>
      </c>
      <c r="E14" s="7" t="str">
        <f aca="false">Parse!E15</f>
        <v>БОУ ОО "МОЦРО №117"</v>
      </c>
      <c r="F14" s="0" t="n">
        <f aca="false">Parse!F15</f>
        <v>0</v>
      </c>
      <c r="G14" s="8" t="str">
        <f aca="false">IFERROR(MID(Parse!G15,SEARCH("vk.com",Parse!G15),LEN(Parse!G15)),Parse!G15)</f>
        <v>vk.com/idiamolya</v>
      </c>
      <c r="H14" s="0" t="str">
        <f aca="false">Parse!H15</f>
        <v>olya_00@bk.ru</v>
      </c>
      <c r="I14" s="0" t="str">
        <f aca="false">VLOOKUP(Parse!I15,$M$1:$N$11,2,FALSE())</f>
        <v>Физика(Шумаков)</v>
      </c>
      <c r="J14" s="0" t="str">
        <f aca="false">VLOOKUP(Parse!J15,$M$1:$N$11,2,FALSE())</f>
        <v>Математика(Кудык)</v>
      </c>
      <c r="K14" s="21" t="n">
        <v>2</v>
      </c>
      <c r="M14" s="4"/>
      <c r="Q14" s="4" t="s">
        <v>21</v>
      </c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4" t="s">
        <v>21</v>
      </c>
      <c r="X14" s="4" t="s">
        <v>21</v>
      </c>
      <c r="Y14" s="4" t="s">
        <v>21</v>
      </c>
      <c r="Z14" s="4" t="s">
        <v>21</v>
      </c>
      <c r="AA14" s="4" t="s">
        <v>21</v>
      </c>
      <c r="AB14" s="4" t="s">
        <v>21</v>
      </c>
      <c r="AC14" s="4" t="s">
        <v>21</v>
      </c>
      <c r="AD14" s="4" t="s">
        <v>21</v>
      </c>
      <c r="AE14" s="4" t="s">
        <v>23</v>
      </c>
      <c r="AF14" s="4" t="s">
        <v>23</v>
      </c>
      <c r="AG14" s="4" t="s">
        <v>21</v>
      </c>
      <c r="AH14" s="4" t="s">
        <v>21</v>
      </c>
      <c r="AI14" s="4" t="s">
        <v>21</v>
      </c>
      <c r="AJ14" s="4" t="s">
        <v>21</v>
      </c>
      <c r="AK14" s="4" t="n">
        <f aca="false">COUNTIF(Q14:Z14,"+")</f>
        <v>10</v>
      </c>
      <c r="AL14" s="4" t="n">
        <f aca="false">COUNTIF(AA14:AJ14,"+")</f>
        <v>8</v>
      </c>
    </row>
    <row r="15" customFormat="false" ht="15.75" hidden="false" customHeight="false" outlineLevel="0" collapsed="false">
      <c r="A15" s="6" t="n">
        <f aca="false">Parse!A16</f>
        <v>42858.76993</v>
      </c>
      <c r="B15" s="17" t="str">
        <f aca="false">Parse!B16</f>
        <v>Вишневский</v>
      </c>
      <c r="C15" s="0" t="str">
        <f aca="false">Parse!C16</f>
        <v>Арсений</v>
      </c>
      <c r="D15" s="0" t="n">
        <f aca="false">Parse!D16</f>
        <v>7</v>
      </c>
      <c r="E15" s="7" t="str">
        <f aca="false">Parse!E16</f>
        <v>БОУ г.Омска "Лицей №25"</v>
      </c>
      <c r="F15" s="0" t="n">
        <f aca="false">Parse!F16</f>
        <v>0</v>
      </c>
      <c r="G15" s="0" t="str">
        <f aca="false">IFERROR(MID(Parse!G16,SEARCH("vk.com",Parse!G16),LEN(Parse!G16)),Parse!G16)</f>
        <v>нет</v>
      </c>
      <c r="H15" s="0" t="str">
        <f aca="false">Parse!H16</f>
        <v>tvishnevska@mail.ru</v>
      </c>
      <c r="I15" s="0" t="str">
        <f aca="false">VLOOKUP(Parse!I16,$M$1:$N$11,2,FALSE())</f>
        <v>Математика(Кудык)</v>
      </c>
      <c r="J15" s="0" t="str">
        <f aca="false">VLOOKUP(Parse!J16,$M$1:$N$11,2,FALSE())</f>
        <v>Физика(Рутберг)</v>
      </c>
      <c r="K15" s="4" t="n">
        <v>2</v>
      </c>
      <c r="Q15" s="4" t="s">
        <v>21</v>
      </c>
      <c r="R15" s="4" t="s">
        <v>21</v>
      </c>
      <c r="S15" s="4" t="s">
        <v>21</v>
      </c>
      <c r="T15" s="4" t="s">
        <v>21</v>
      </c>
      <c r="U15" s="4" t="s">
        <v>21</v>
      </c>
      <c r="V15" s="4" t="s">
        <v>21</v>
      </c>
      <c r="W15" s="4" t="s">
        <v>21</v>
      </c>
      <c r="X15" s="4" t="s">
        <v>21</v>
      </c>
      <c r="Y15" s="4" t="s">
        <v>21</v>
      </c>
      <c r="Z15" s="4" t="s">
        <v>21</v>
      </c>
      <c r="AA15" s="4" t="s">
        <v>21</v>
      </c>
      <c r="AB15" s="4" t="s">
        <v>21</v>
      </c>
      <c r="AC15" s="4" t="s">
        <v>21</v>
      </c>
      <c r="AD15" s="4" t="s">
        <v>21</v>
      </c>
      <c r="AE15" s="4" t="s">
        <v>21</v>
      </c>
      <c r="AF15" s="4" t="s">
        <v>21</v>
      </c>
      <c r="AG15" s="4" t="s">
        <v>21</v>
      </c>
      <c r="AH15" s="4" t="s">
        <v>21</v>
      </c>
      <c r="AI15" s="4" t="s">
        <v>21</v>
      </c>
      <c r="AJ15" s="4" t="s">
        <v>21</v>
      </c>
      <c r="AK15" s="4" t="n">
        <f aca="false">COUNTIF(Q15:Z15,"+")</f>
        <v>10</v>
      </c>
      <c r="AL15" s="4" t="n">
        <f aca="false">COUNTIF(AA15:AJ15,"+")</f>
        <v>10</v>
      </c>
    </row>
    <row r="16" customFormat="false" ht="15.75" hidden="false" customHeight="false" outlineLevel="0" collapsed="false">
      <c r="A16" s="6" t="n">
        <f aca="false">Parse!A18</f>
        <v>42858.8069</v>
      </c>
      <c r="B16" s="20" t="str">
        <f aca="false">Parse!B18</f>
        <v>Чебакова</v>
      </c>
      <c r="C16" s="0" t="str">
        <f aca="false">Parse!C18</f>
        <v>Майя</v>
      </c>
      <c r="D16" s="0" t="n">
        <f aca="false">Parse!D18</f>
        <v>7</v>
      </c>
      <c r="E16" s="7" t="str">
        <f aca="false">Parse!E18</f>
        <v>Лицей 64</v>
      </c>
      <c r="F16" s="0" t="n">
        <f aca="false">Parse!F18</f>
        <v>0</v>
      </c>
      <c r="G16" s="8" t="str">
        <f aca="false">IFERROR(MID(Parse!G18,SEARCH("vk.com",Parse!G18),LEN(Parse!G18)),Parse!G18)</f>
        <v>vk.com/id305699141</v>
      </c>
      <c r="H16" s="0" t="str">
        <f aca="false">Parse!H18</f>
        <v>Sir.stannow@yandex.ru</v>
      </c>
      <c r="I16" s="0" t="str">
        <f aca="false">VLOOKUP(Parse!I18,$M$1:$N$11,2,FALSE())</f>
        <v>Математика(Кудык)</v>
      </c>
      <c r="J16" s="0" t="str">
        <f aca="false">VLOOKUP(Parse!J18,$M$1:$N$11,2,FALSE())</f>
        <v>Биоинформатика</v>
      </c>
      <c r="K16" s="21" t="n">
        <v>2</v>
      </c>
      <c r="M16" s="4"/>
      <c r="N16" s="4" t="s">
        <v>31</v>
      </c>
      <c r="Q16" s="4" t="s">
        <v>21</v>
      </c>
      <c r="R16" s="4" t="s">
        <v>21</v>
      </c>
      <c r="S16" s="4" t="s">
        <v>23</v>
      </c>
      <c r="T16" s="4" t="s">
        <v>23</v>
      </c>
      <c r="U16" s="4" t="s">
        <v>21</v>
      </c>
      <c r="V16" s="4" t="s">
        <v>21</v>
      </c>
      <c r="W16" s="4" t="s">
        <v>23</v>
      </c>
      <c r="X16" s="4" t="s">
        <v>23</v>
      </c>
      <c r="Y16" s="4" t="s">
        <v>23</v>
      </c>
      <c r="Z16" s="4" t="s">
        <v>23</v>
      </c>
      <c r="AA16" s="4" t="s">
        <v>23</v>
      </c>
      <c r="AB16" s="4" t="s">
        <v>21</v>
      </c>
      <c r="AC16" s="4" t="s">
        <v>21</v>
      </c>
      <c r="AD16" s="4" t="s">
        <v>21</v>
      </c>
      <c r="AE16" s="4" t="s">
        <v>21</v>
      </c>
      <c r="AF16" s="4" t="s">
        <v>21</v>
      </c>
      <c r="AG16" s="4" t="s">
        <v>21</v>
      </c>
      <c r="AH16" s="4" t="s">
        <v>21</v>
      </c>
      <c r="AI16" s="4" t="s">
        <v>23</v>
      </c>
      <c r="AJ16" s="4" t="s">
        <v>23</v>
      </c>
      <c r="AK16" s="4" t="n">
        <f aca="false">COUNTIF(Q16:Z16,"+")</f>
        <v>4</v>
      </c>
      <c r="AL16" s="4" t="n">
        <f aca="false">COUNTIF(AA16:AJ16,"+")</f>
        <v>7</v>
      </c>
    </row>
    <row r="17" customFormat="false" ht="15.75" hidden="false" customHeight="false" outlineLevel="0" collapsed="false">
      <c r="A17" s="6" t="n">
        <f aca="false">Parse!A19</f>
        <v>42858.81876</v>
      </c>
      <c r="B17" s="19" t="str">
        <f aca="false">Parse!B19</f>
        <v>Верзун</v>
      </c>
      <c r="C17" s="0" t="str">
        <f aca="false">Parse!C19</f>
        <v>Юрий</v>
      </c>
      <c r="D17" s="0" t="n">
        <f aca="false">Parse!D19</f>
        <v>8</v>
      </c>
      <c r="E17" s="7" t="str">
        <f aca="false">Parse!E19</f>
        <v>117</v>
      </c>
      <c r="F17" s="0" t="n">
        <f aca="false">Parse!F19</f>
        <v>0</v>
      </c>
      <c r="G17" s="8" t="str">
        <f aca="false">IFERROR(MID(Parse!G19,SEARCH("vk.com",Parse!G19),LEN(Parse!G19)),Parse!G19)</f>
        <v>vk.com/id400485657</v>
      </c>
      <c r="H17" s="0" t="str">
        <f aca="false">Parse!H19</f>
        <v>yurver@inbox.ru</v>
      </c>
      <c r="I17" s="0" t="str">
        <f aca="false">VLOOKUP(Parse!I19,$M$1:$N$11,2,FALSE())</f>
        <v>Программирование(Свет)</v>
      </c>
      <c r="J17" s="0" t="str">
        <f aca="false">VLOOKUP(Parse!J19,$M$1:$N$11,2,FALSE())</f>
        <v>Биоинформатика</v>
      </c>
      <c r="K17" s="4" t="n">
        <v>2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23</v>
      </c>
      <c r="V17" s="4" t="s">
        <v>23</v>
      </c>
      <c r="W17" s="4" t="s">
        <v>23</v>
      </c>
      <c r="X17" s="4" t="s">
        <v>23</v>
      </c>
      <c r="Y17" s="4" t="s">
        <v>23</v>
      </c>
      <c r="Z17" s="4" t="s">
        <v>23</v>
      </c>
      <c r="AA17" s="4" t="s">
        <v>21</v>
      </c>
      <c r="AB17" s="4" t="s">
        <v>21</v>
      </c>
      <c r="AC17" s="4" t="s">
        <v>21</v>
      </c>
      <c r="AD17" s="4" t="s">
        <v>21</v>
      </c>
      <c r="AE17" s="4" t="s">
        <v>23</v>
      </c>
      <c r="AF17" s="4" t="s">
        <v>23</v>
      </c>
      <c r="AG17" s="4" t="s">
        <v>21</v>
      </c>
      <c r="AH17" s="4" t="s">
        <v>21</v>
      </c>
      <c r="AI17" s="4" t="s">
        <v>23</v>
      </c>
      <c r="AJ17" s="4" t="s">
        <v>23</v>
      </c>
      <c r="AK17" s="4" t="n">
        <f aca="false">COUNTIF(Q17:Z17,"+")</f>
        <v>0</v>
      </c>
      <c r="AL17" s="4" t="n">
        <f aca="false">COUNTIF(AA17:AJ17,"+")</f>
        <v>6</v>
      </c>
    </row>
    <row r="18" customFormat="false" ht="15.75" hidden="false" customHeight="false" outlineLevel="0" collapsed="false">
      <c r="A18" s="6" t="n">
        <f aca="false">Parse!A20</f>
        <v>42858.84484</v>
      </c>
      <c r="B18" s="17" t="str">
        <f aca="false">Parse!B20</f>
        <v>Артамонова</v>
      </c>
      <c r="C18" s="0" t="str">
        <f aca="false">Parse!C20</f>
        <v>Анна</v>
      </c>
      <c r="D18" s="0" t="n">
        <f aca="false">Parse!D20</f>
        <v>9</v>
      </c>
      <c r="E18" s="7" t="str">
        <f aca="false">Parse!E20</f>
        <v>64</v>
      </c>
      <c r="F18" s="0" t="n">
        <f aca="false">Parse!F20</f>
        <v>0</v>
      </c>
      <c r="G18" s="8" t="str">
        <f aca="false">IFERROR(MID(Parse!G20,SEARCH("vk.com",Parse!G20),LEN(Parse!G20)),Parse!G20)</f>
        <v>vk.com/id157850061</v>
      </c>
      <c r="H18" s="0" t="str">
        <f aca="false">Parse!H20</f>
        <v>nastyafilipenko57@gmail.com</v>
      </c>
      <c r="I18" s="0" t="str">
        <f aca="false">VLOOKUP(Parse!I20,$M$1:$N$11,2,FALSE())</f>
        <v>Физика(Рутберг)</v>
      </c>
      <c r="J18" s="0" t="str">
        <f aca="false">VLOOKUP(Parse!J20,$M$1:$N$11,2,FALSE())</f>
        <v>Испанский</v>
      </c>
      <c r="K18" s="4" t="n">
        <v>2</v>
      </c>
      <c r="Q18" s="4" t="s">
        <v>21</v>
      </c>
      <c r="R18" s="4" t="s">
        <v>21</v>
      </c>
      <c r="S18" s="4" t="s">
        <v>21</v>
      </c>
      <c r="T18" s="4" t="s">
        <v>21</v>
      </c>
      <c r="U18" s="4" t="s">
        <v>21</v>
      </c>
      <c r="V18" s="4" t="s">
        <v>21</v>
      </c>
      <c r="W18" s="4" t="s">
        <v>21</v>
      </c>
      <c r="X18" s="4" t="s">
        <v>21</v>
      </c>
      <c r="Y18" s="4" t="s">
        <v>21</v>
      </c>
      <c r="Z18" s="4" t="s">
        <v>21</v>
      </c>
      <c r="AA18" s="4" t="s">
        <v>21</v>
      </c>
      <c r="AB18" s="4" t="s">
        <v>21</v>
      </c>
      <c r="AC18" s="4" t="s">
        <v>21</v>
      </c>
      <c r="AD18" s="4" t="s">
        <v>21</v>
      </c>
      <c r="AE18" s="4" t="s">
        <v>23</v>
      </c>
      <c r="AF18" s="4" t="s">
        <v>23</v>
      </c>
      <c r="AG18" s="4" t="s">
        <v>21</v>
      </c>
      <c r="AH18" s="4" t="s">
        <v>21</v>
      </c>
      <c r="AI18" s="4" t="s">
        <v>21</v>
      </c>
      <c r="AJ18" s="4" t="s">
        <v>21</v>
      </c>
      <c r="AK18" s="4" t="n">
        <f aca="false">COUNTIF(Q18:Z18,"+")</f>
        <v>10</v>
      </c>
      <c r="AL18" s="4" t="n">
        <f aca="false">COUNTIF(AA18:AJ18,"+")</f>
        <v>8</v>
      </c>
    </row>
    <row r="19" customFormat="false" ht="15.75" hidden="false" customHeight="false" outlineLevel="0" collapsed="false">
      <c r="A19" s="6" t="n">
        <f aca="false">Parse!A21</f>
        <v>42858.85278</v>
      </c>
      <c r="B19" s="19" t="str">
        <f aca="false">Parse!B21</f>
        <v>Подворная</v>
      </c>
      <c r="C19" s="0" t="str">
        <f aca="false">Parse!C21</f>
        <v>Елизавета</v>
      </c>
      <c r="D19" s="0" t="n">
        <f aca="false">Parse!D21</f>
        <v>10</v>
      </c>
      <c r="E19" s="7" t="str">
        <f aca="false">Parse!E21</f>
        <v>117</v>
      </c>
      <c r="F19" s="0" t="n">
        <f aca="false">Parse!F21</f>
        <v>0</v>
      </c>
      <c r="G19" s="8" t="str">
        <f aca="false">IFERROR(MID(Parse!G21,SEARCH("vk.com",Parse!G21),LEN(Parse!G21)),Parse!G21)</f>
        <v>vk.com/liza06082000</v>
      </c>
      <c r="H19" s="0" t="str">
        <f aca="false">Parse!H21</f>
        <v>06082000@mail.ru</v>
      </c>
      <c r="I19" s="0" t="str">
        <f aca="false">VLOOKUP(Parse!I21,$M$1:$N$11,2,FALSE())</f>
        <v>Биоинформатика</v>
      </c>
      <c r="J19" s="0" t="str">
        <f aca="false">VLOOKUP(Parse!J21,$M$1:$N$11,2,FALSE())</f>
        <v>Экономика</v>
      </c>
      <c r="K19" s="4" t="n">
        <v>2</v>
      </c>
      <c r="Q19" s="4" t="s">
        <v>21</v>
      </c>
      <c r="R19" s="4" t="s">
        <v>21</v>
      </c>
      <c r="S19" s="4" t="s">
        <v>21</v>
      </c>
      <c r="T19" s="4" t="s">
        <v>21</v>
      </c>
      <c r="U19" s="4" t="s">
        <v>21</v>
      </c>
      <c r="V19" s="4" t="s">
        <v>21</v>
      </c>
      <c r="W19" s="4" t="s">
        <v>21</v>
      </c>
      <c r="X19" s="4" t="s">
        <v>21</v>
      </c>
      <c r="Y19" s="4" t="s">
        <v>23</v>
      </c>
      <c r="Z19" s="4" t="s">
        <v>23</v>
      </c>
      <c r="AA19" s="4" t="s">
        <v>21</v>
      </c>
      <c r="AB19" s="4" t="s">
        <v>21</v>
      </c>
      <c r="AC19" s="4" t="s">
        <v>21</v>
      </c>
      <c r="AD19" s="4" t="s">
        <v>21</v>
      </c>
      <c r="AE19" s="4" t="s">
        <v>21</v>
      </c>
      <c r="AF19" s="4" t="s">
        <v>21</v>
      </c>
      <c r="AG19" s="4" t="s">
        <v>21</v>
      </c>
      <c r="AH19" s="4" t="s">
        <v>21</v>
      </c>
      <c r="AI19" s="4" t="s">
        <v>23</v>
      </c>
      <c r="AJ19" s="4" t="s">
        <v>23</v>
      </c>
      <c r="AK19" s="4" t="n">
        <f aca="false">COUNTIF(Q19:Z19,"+")</f>
        <v>8</v>
      </c>
      <c r="AL19" s="4" t="n">
        <f aca="false">COUNTIF(AA19:AJ19,"+")</f>
        <v>8</v>
      </c>
    </row>
    <row r="20" customFormat="false" ht="15.75" hidden="false" customHeight="false" outlineLevel="0" collapsed="false">
      <c r="A20" s="6" t="n">
        <f aca="false">Parse!A23</f>
        <v>42859.70361</v>
      </c>
      <c r="B20" s="20" t="str">
        <f aca="false">Parse!B23</f>
        <v>Ложников</v>
      </c>
      <c r="C20" s="0" t="str">
        <f aca="false">Parse!C23</f>
        <v>Виктор</v>
      </c>
      <c r="D20" s="0" t="n">
        <f aca="false">Parse!D23</f>
        <v>10</v>
      </c>
      <c r="E20" s="7" t="str">
        <f aca="false">Parse!E23</f>
        <v>Гимназия 139</v>
      </c>
      <c r="F20" s="0" t="str">
        <f aca="false">Parse!F23</f>
        <v>смогу участвовать до 14 июля включительно</v>
      </c>
      <c r="G20" s="8" t="str">
        <f aca="false">IFERROR(MID(Parse!G23,SEARCH("vk.com",Parse!G23),LEN(Parse!G23)),Parse!G23)</f>
        <v>vk.com/lozhnikov_victor</v>
      </c>
      <c r="H20" s="0" t="str">
        <f aca="false">Parse!H23</f>
        <v>v.lozhnikov2000@gmail.com</v>
      </c>
      <c r="I20" s="0" t="str">
        <f aca="false">VLOOKUP(Parse!I23,$M$1:$N$11,2,FALSE())</f>
        <v>Биоинформатика</v>
      </c>
      <c r="J20" s="0" t="str">
        <f aca="false">VLOOKUP(Parse!J23,$M$1:$N$11,2,FALSE())</f>
        <v>Математика(Кудык)</v>
      </c>
      <c r="K20" s="21" t="n">
        <v>2</v>
      </c>
      <c r="M20" s="4"/>
      <c r="Q20" s="4" t="s">
        <v>21</v>
      </c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4" t="s">
        <v>21</v>
      </c>
      <c r="X20" s="4" t="s">
        <v>21</v>
      </c>
      <c r="Y20" s="4" t="s">
        <v>21</v>
      </c>
      <c r="Z20" s="4" t="s">
        <v>21</v>
      </c>
      <c r="AA20" s="4" t="s">
        <v>21</v>
      </c>
      <c r="AB20" s="4" t="s">
        <v>21</v>
      </c>
      <c r="AC20" s="4" t="s">
        <v>21</v>
      </c>
      <c r="AD20" s="4" t="s">
        <v>21</v>
      </c>
      <c r="AE20" s="4" t="s">
        <v>23</v>
      </c>
      <c r="AF20" s="4" t="s">
        <v>23</v>
      </c>
      <c r="AG20" s="4" t="s">
        <v>23</v>
      </c>
      <c r="AH20" s="4" t="s">
        <v>23</v>
      </c>
      <c r="AK20" s="4" t="n">
        <f aca="false">COUNTIF(Q20:Z20,"+")</f>
        <v>10</v>
      </c>
      <c r="AL20" s="4" t="n">
        <f aca="false">COUNTIF(AA20:AJ20,"+")</f>
        <v>4</v>
      </c>
    </row>
    <row r="21" customFormat="false" ht="15.75" hidden="false" customHeight="false" outlineLevel="0" collapsed="false">
      <c r="A21" s="6" t="n">
        <f aca="false">Parse!A24</f>
        <v>42860.19566</v>
      </c>
      <c r="B21" s="18" t="str">
        <f aca="false">Parse!B24</f>
        <v>Киреев</v>
      </c>
      <c r="C21" s="0" t="str">
        <f aca="false">Parse!C24</f>
        <v>Владимир</v>
      </c>
      <c r="D21" s="0" t="n">
        <f aca="false">Parse!D24</f>
        <v>9</v>
      </c>
      <c r="E21" s="7" t="str">
        <f aca="false">Parse!E24</f>
        <v>Лицей 25</v>
      </c>
      <c r="F21" s="0" t="n">
        <f aca="false">Parse!F24</f>
        <v>0</v>
      </c>
      <c r="G21" s="0" t="str">
        <f aca="false">IFERROR(MID(Parse!G24,SEARCH("vk.com",Parse!G24),LEN(Parse!G24)),Parse!G24)</f>
        <v>нет</v>
      </c>
      <c r="H21" s="0" t="str">
        <f aca="false">Parse!H24</f>
        <v>vova.kireev.2001@gmail.com</v>
      </c>
      <c r="I21" s="0" t="str">
        <f aca="false">VLOOKUP(Parse!I24,$M$1:$N$11,2,FALSE())</f>
        <v>Программирование(Свет)</v>
      </c>
      <c r="J21" s="0" t="str">
        <f aca="false">VLOOKUP(Parse!J24,$M$1:$N$11,2,FALSE())</f>
        <v>Математика(Кудык)</v>
      </c>
      <c r="K21" s="4" t="n">
        <v>2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23</v>
      </c>
      <c r="V21" s="4" t="s">
        <v>23</v>
      </c>
      <c r="W21" s="4" t="s">
        <v>23</v>
      </c>
      <c r="X21" s="4" t="s">
        <v>23</v>
      </c>
      <c r="Y21" s="4" t="s">
        <v>23</v>
      </c>
      <c r="Z21" s="4" t="s">
        <v>23</v>
      </c>
      <c r="AA21" s="4" t="s">
        <v>23</v>
      </c>
      <c r="AB21" s="4" t="s">
        <v>23</v>
      </c>
      <c r="AC21" s="4" t="s">
        <v>23</v>
      </c>
      <c r="AD21" s="4" t="s">
        <v>23</v>
      </c>
      <c r="AE21" s="4" t="s">
        <v>23</v>
      </c>
      <c r="AF21" s="4" t="s">
        <v>23</v>
      </c>
      <c r="AG21" s="4" t="s">
        <v>23</v>
      </c>
      <c r="AH21" s="4" t="s">
        <v>23</v>
      </c>
      <c r="AK21" s="4" t="n">
        <f aca="false">COUNTIF(Q21:Z21,"+")</f>
        <v>0</v>
      </c>
      <c r="AL21" s="4" t="n">
        <f aca="false">COUNTIF(AA21:AJ21,"+")</f>
        <v>0</v>
      </c>
    </row>
    <row r="22" customFormat="false" ht="15.75" hidden="false" customHeight="false" outlineLevel="0" collapsed="false">
      <c r="A22" s="6" t="n">
        <f aca="false">Parse!A25</f>
        <v>42860.65229</v>
      </c>
      <c r="B22" s="19" t="str">
        <f aca="false">Parse!B25</f>
        <v>Сычов</v>
      </c>
      <c r="C22" s="0" t="str">
        <f aca="false">Parse!C25</f>
        <v>Семён</v>
      </c>
      <c r="D22" s="0" t="n">
        <f aca="false">Parse!D25</f>
        <v>9</v>
      </c>
      <c r="E22" s="7" t="str">
        <f aca="false">Parse!E25</f>
        <v>64</v>
      </c>
      <c r="F22" s="0" t="n">
        <f aca="false">Parse!F25</f>
        <v>0</v>
      </c>
      <c r="G22" s="8" t="str">
        <f aca="false">IFERROR(MID(Parse!G25,SEARCH("vk.com",Parse!G25),LEN(Parse!G25)),Parse!G25)</f>
        <v>vk.com/sermon.kokosov</v>
      </c>
      <c r="H22" s="0" t="str">
        <f aca="false">Parse!H25</f>
        <v>vorkokosov@yandex.ru</v>
      </c>
      <c r="I22" s="0" t="str">
        <f aca="false">VLOOKUP(Parse!I25,$M$1:$N$11,2,FALSE())</f>
        <v>Программирование(Шульга)</v>
      </c>
      <c r="J22" s="0" t="str">
        <f aca="false">VLOOKUP(Parse!J25,$M$1:$N$11,2,FALSE())</f>
        <v>Математика(Строженко)</v>
      </c>
      <c r="K22" s="4" t="n">
        <v>2</v>
      </c>
      <c r="Q22" s="4" t="s">
        <v>21</v>
      </c>
      <c r="R22" s="4" t="s">
        <v>21</v>
      </c>
      <c r="S22" s="4" t="s">
        <v>21</v>
      </c>
      <c r="T22" s="4" t="s">
        <v>21</v>
      </c>
      <c r="U22" s="4" t="s">
        <v>21</v>
      </c>
      <c r="V22" s="4" t="s">
        <v>21</v>
      </c>
      <c r="W22" s="4" t="s">
        <v>21</v>
      </c>
      <c r="X22" s="4" t="s">
        <v>21</v>
      </c>
      <c r="Y22" s="4" t="s">
        <v>21</v>
      </c>
      <c r="Z22" s="4" t="s">
        <v>21</v>
      </c>
      <c r="AA22" s="4" t="s">
        <v>21</v>
      </c>
      <c r="AB22" s="4" t="s">
        <v>21</v>
      </c>
      <c r="AC22" s="4" t="s">
        <v>21</v>
      </c>
      <c r="AD22" s="4" t="s">
        <v>21</v>
      </c>
      <c r="AE22" s="4" t="s">
        <v>23</v>
      </c>
      <c r="AF22" s="4" t="s">
        <v>23</v>
      </c>
      <c r="AG22" s="4" t="s">
        <v>23</v>
      </c>
      <c r="AH22" s="4" t="s">
        <v>23</v>
      </c>
      <c r="AI22" s="4" t="s">
        <v>23</v>
      </c>
      <c r="AJ22" s="4" t="s">
        <v>23</v>
      </c>
      <c r="AK22" s="4" t="n">
        <f aca="false">COUNTIF(Q22:Z22,"+")</f>
        <v>10</v>
      </c>
      <c r="AL22" s="4" t="n">
        <f aca="false">COUNTIF(AA22:AJ22,"+")</f>
        <v>4</v>
      </c>
    </row>
    <row r="23" customFormat="false" ht="15.75" hidden="false" customHeight="false" outlineLevel="0" collapsed="false">
      <c r="A23" s="6" t="n">
        <f aca="false">Parse!A27</f>
        <v>42860.89176</v>
      </c>
      <c r="B23" s="18" t="str">
        <f aca="false">Parse!B27</f>
        <v>Цындуков</v>
      </c>
      <c r="C23" s="0" t="str">
        <f aca="false">Parse!C27</f>
        <v>Сергей</v>
      </c>
      <c r="D23" s="0" t="n">
        <f aca="false">Parse!D27</f>
        <v>10</v>
      </c>
      <c r="E23" s="7" t="str">
        <f aca="false">Parse!E27</f>
        <v>Лицей 92</v>
      </c>
      <c r="F23" s="0" t="n">
        <f aca="false">Parse!F27</f>
        <v>0</v>
      </c>
      <c r="G23" s="8" t="str">
        <f aca="false">IFERROR(MID(Parse!G27,SEARCH("vk.com",Parse!G27),LEN(Parse!G27)),Parse!G27)</f>
        <v>vk.com/tsyndukov</v>
      </c>
      <c r="H23" s="0" t="str">
        <f aca="false">Parse!H27</f>
        <v>tsinda2000@gmail.com</v>
      </c>
      <c r="I23" s="0" t="str">
        <f aca="false">VLOOKUP(Parse!I27,$M$1:$N$11,2,FALSE())</f>
        <v>Физика(Рутберг)</v>
      </c>
      <c r="J23" s="0" t="str">
        <f aca="false">VLOOKUP(Parse!J27,$M$1:$N$11,2,FALSE())</f>
        <v>Программирование(Шульга)</v>
      </c>
      <c r="K23" s="4" t="n">
        <v>2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23</v>
      </c>
      <c r="V23" s="4" t="s">
        <v>23</v>
      </c>
      <c r="W23" s="4" t="s">
        <v>23</v>
      </c>
      <c r="X23" s="4" t="s">
        <v>23</v>
      </c>
      <c r="Y23" s="4" t="s">
        <v>23</v>
      </c>
      <c r="Z23" s="4" t="s">
        <v>23</v>
      </c>
      <c r="AA23" s="4" t="s">
        <v>23</v>
      </c>
      <c r="AB23" s="4" t="s">
        <v>23</v>
      </c>
      <c r="AC23" s="4" t="s">
        <v>23</v>
      </c>
      <c r="AD23" s="4" t="s">
        <v>23</v>
      </c>
      <c r="AE23" s="4" t="s">
        <v>23</v>
      </c>
      <c r="AF23" s="4" t="s">
        <v>23</v>
      </c>
      <c r="AG23" s="4" t="s">
        <v>23</v>
      </c>
      <c r="AH23" s="4" t="s">
        <v>23</v>
      </c>
      <c r="AI23" s="4" t="s">
        <v>23</v>
      </c>
      <c r="AJ23" s="4" t="s">
        <v>23</v>
      </c>
      <c r="AK23" s="4" t="n">
        <f aca="false">COUNTIF(Q23:Z23,"+")</f>
        <v>0</v>
      </c>
      <c r="AL23" s="4" t="n">
        <f aca="false">COUNTIF(AA23:AJ23,"+")</f>
        <v>0</v>
      </c>
    </row>
    <row r="24" customFormat="false" ht="15.75" hidden="false" customHeight="false" outlineLevel="0" collapsed="false">
      <c r="A24" s="6" t="n">
        <f aca="false">Parse!A28</f>
        <v>42861.28611</v>
      </c>
      <c r="B24" s="17" t="str">
        <f aca="false">Parse!B28</f>
        <v>Мозылева</v>
      </c>
      <c r="C24" s="0" t="str">
        <f aca="false">Parse!C28</f>
        <v>Мария</v>
      </c>
      <c r="D24" s="0" t="n">
        <f aca="false">Parse!D28</f>
        <v>8</v>
      </c>
      <c r="E24" s="7" t="str">
        <f aca="false">Parse!E28</f>
        <v>БОУ г. Омска "Гимназия 9"</v>
      </c>
      <c r="F24" s="0" t="n">
        <f aca="false">Parse!F28</f>
        <v>0</v>
      </c>
      <c r="G24" s="8" t="str">
        <f aca="false">IFERROR(MID(Parse!G28,SEARCH("vk.com",Parse!G28),LEN(Parse!G28)),Parse!G28)</f>
        <v>vk.com/id99314292</v>
      </c>
      <c r="H24" s="0" t="str">
        <f aca="false">Parse!H28</f>
        <v>moz.maris@gmail.com</v>
      </c>
      <c r="I24" s="0" t="str">
        <f aca="false">VLOOKUP(Parse!I28,$M$1:$N$11,2,FALSE())</f>
        <v>Биоинформатика</v>
      </c>
      <c r="J24" s="0" t="str">
        <f aca="false">VLOOKUP(Parse!J28,$M$1:$N$11,2,FALSE())</f>
        <v>Физика(Рутберг)</v>
      </c>
      <c r="K24" s="4" t="n">
        <v>2</v>
      </c>
      <c r="Q24" s="4" t="s">
        <v>21</v>
      </c>
      <c r="R24" s="4" t="s">
        <v>21</v>
      </c>
      <c r="S24" s="4" t="s">
        <v>21</v>
      </c>
      <c r="T24" s="4" t="s">
        <v>21</v>
      </c>
      <c r="U24" s="4" t="s">
        <v>21</v>
      </c>
      <c r="V24" s="4" t="s">
        <v>21</v>
      </c>
      <c r="W24" s="4" t="s">
        <v>21</v>
      </c>
      <c r="X24" s="4" t="s">
        <v>21</v>
      </c>
      <c r="Y24" s="4" t="s">
        <v>21</v>
      </c>
      <c r="Z24" s="4" t="s">
        <v>21</v>
      </c>
      <c r="AA24" s="4" t="s">
        <v>21</v>
      </c>
      <c r="AB24" s="4" t="s">
        <v>21</v>
      </c>
      <c r="AC24" s="4" t="s">
        <v>21</v>
      </c>
      <c r="AD24" s="4" t="s">
        <v>21</v>
      </c>
      <c r="AE24" s="4" t="s">
        <v>21</v>
      </c>
      <c r="AF24" s="4" t="s">
        <v>21</v>
      </c>
      <c r="AG24" s="4" t="s">
        <v>21</v>
      </c>
      <c r="AH24" s="4" t="s">
        <v>21</v>
      </c>
      <c r="AI24" s="4" t="s">
        <v>21</v>
      </c>
      <c r="AJ24" s="4" t="s">
        <v>21</v>
      </c>
      <c r="AK24" s="4" t="n">
        <f aca="false">COUNTIF(Q24:Z24,"+")</f>
        <v>10</v>
      </c>
      <c r="AL24" s="4" t="n">
        <f aca="false">COUNTIF(AA24:AJ24,"+")</f>
        <v>10</v>
      </c>
    </row>
    <row r="25" customFormat="false" ht="15.75" hidden="false" customHeight="false" outlineLevel="0" collapsed="false">
      <c r="A25" s="6" t="n">
        <f aca="false">Parse!A29</f>
        <v>42862.25184</v>
      </c>
      <c r="B25" s="20" t="str">
        <f aca="false">Parse!B29</f>
        <v>Храмов</v>
      </c>
      <c r="C25" s="0" t="str">
        <f aca="false">Parse!C29</f>
        <v>Андрей</v>
      </c>
      <c r="D25" s="0" t="n">
        <f aca="false">Parse!D29</f>
        <v>8</v>
      </c>
      <c r="E25" s="7" t="str">
        <f aca="false">Parse!E29</f>
        <v>БОУ СОШ √83</v>
      </c>
      <c r="F25" s="0" t="str">
        <f aca="false">Parse!F29</f>
        <v>Я ,скорее всего, не смогу каждый день ходить в вашу школу,т.к. у меня имеются доп.занятия.</v>
      </c>
      <c r="G25" s="8" t="str">
        <f aca="false">IFERROR(MID(Parse!G29,SEARCH("vk.com",Parse!G29),LEN(Parse!G29)),Parse!G29)</f>
        <v>vk.com/damaskyoutube</v>
      </c>
      <c r="H25" s="0" t="str">
        <f aca="false">Parse!H29</f>
        <v>khramov.02list.ru16@gmail.com</v>
      </c>
      <c r="I25" s="0" t="str">
        <f aca="false">VLOOKUP(Parse!I29,$M$1:$N$11,2,FALSE())</f>
        <v>Программирование(Шульга)</v>
      </c>
      <c r="J25" s="0" t="n">
        <f aca="false">VLOOKUP(Parse!J29,$M$1:$N$11,2,FALSE())</f>
        <v>0</v>
      </c>
      <c r="K25" s="4" t="n">
        <v>2</v>
      </c>
      <c r="M25" s="4"/>
      <c r="Q25" s="4" t="s">
        <v>23</v>
      </c>
      <c r="R25" s="4" t="s">
        <v>23</v>
      </c>
      <c r="S25" s="4" t="s">
        <v>23</v>
      </c>
      <c r="T25" s="4" t="s">
        <v>23</v>
      </c>
      <c r="U25" s="4" t="s">
        <v>23</v>
      </c>
      <c r="V25" s="4" t="s">
        <v>23</v>
      </c>
      <c r="W25" s="4" t="s">
        <v>23</v>
      </c>
      <c r="X25" s="4" t="s">
        <v>23</v>
      </c>
      <c r="Y25" s="4" t="s">
        <v>23</v>
      </c>
      <c r="Z25" s="4" t="s">
        <v>23</v>
      </c>
      <c r="AK25" s="4" t="n">
        <f aca="false">COUNTIF(Q25:Z25,"+")</f>
        <v>0</v>
      </c>
      <c r="AL25" s="4" t="n">
        <f aca="false">COUNTIF(AA25:AJ25,"+")</f>
        <v>0</v>
      </c>
    </row>
    <row r="26" customFormat="false" ht="15.75" hidden="false" customHeight="false" outlineLevel="0" collapsed="false">
      <c r="A26" s="6" t="n">
        <f aca="false">Parse!A30</f>
        <v>42862.76351</v>
      </c>
      <c r="B26" s="19" t="str">
        <f aca="false">Parse!B30</f>
        <v>Задорожная</v>
      </c>
      <c r="C26" s="0" t="str">
        <f aca="false">Parse!C30</f>
        <v>Виолетта</v>
      </c>
      <c r="D26" s="0" t="n">
        <f aca="false">Parse!D30</f>
        <v>9</v>
      </c>
      <c r="E26" s="7" t="str">
        <f aca="false">Parse!E30</f>
        <v>117</v>
      </c>
      <c r="F26" s="0" t="n">
        <f aca="false">Parse!F30</f>
        <v>0</v>
      </c>
      <c r="G26" s="8" t="str">
        <f aca="false">IFERROR(MID(Parse!G30,SEARCH("vk.com",Parse!G30),LEN(Parse!G30)),Parse!G30)</f>
        <v>vk.com/id198934365</v>
      </c>
      <c r="H26" s="0" t="str">
        <f aca="false">Parse!H30</f>
        <v>vitulya.zadorozhnaya@mail.ru</v>
      </c>
      <c r="I26" s="0" t="str">
        <f aca="false">VLOOKUP(Parse!I30,$M$1:$N$11,2,FALSE())</f>
        <v>Право</v>
      </c>
      <c r="J26" s="0" t="str">
        <f aca="false">VLOOKUP(Parse!J30,$M$1:$N$11,2,FALSE())</f>
        <v>Программирование(Шульга)</v>
      </c>
      <c r="K26" s="4" t="n">
        <v>2</v>
      </c>
      <c r="Q26" s="4" t="s">
        <v>21</v>
      </c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4" t="s">
        <v>21</v>
      </c>
      <c r="X26" s="4" t="s">
        <v>21</v>
      </c>
      <c r="Y26" s="4" t="s">
        <v>21</v>
      </c>
      <c r="Z26" s="4" t="s">
        <v>21</v>
      </c>
      <c r="AA26" s="4" t="s">
        <v>21</v>
      </c>
      <c r="AB26" s="4" t="s">
        <v>21</v>
      </c>
      <c r="AC26" s="4" t="s">
        <v>21</v>
      </c>
      <c r="AD26" s="4" t="s">
        <v>21</v>
      </c>
      <c r="AE26" s="4" t="s">
        <v>21</v>
      </c>
      <c r="AF26" s="4" t="s">
        <v>21</v>
      </c>
      <c r="AG26" s="4" t="s">
        <v>21</v>
      </c>
      <c r="AH26" s="4" t="s">
        <v>21</v>
      </c>
      <c r="AI26" s="4" t="s">
        <v>21</v>
      </c>
      <c r="AJ26" s="4" t="s">
        <v>21</v>
      </c>
      <c r="AK26" s="4" t="n">
        <f aca="false">COUNTIF(Q26:Z26,"+")</f>
        <v>10</v>
      </c>
      <c r="AL26" s="4" t="n">
        <f aca="false">COUNTIF(AA26:AJ26,"+")</f>
        <v>10</v>
      </c>
    </row>
    <row r="27" customFormat="false" ht="15.75" hidden="false" customHeight="false" outlineLevel="0" collapsed="false">
      <c r="A27" s="6" t="n">
        <f aca="false">Parse!A31</f>
        <v>42863.33215</v>
      </c>
      <c r="B27" s="19" t="str">
        <f aca="false">Parse!B31</f>
        <v>Сташевская</v>
      </c>
      <c r="C27" s="0" t="str">
        <f aca="false">Parse!C31</f>
        <v>Анита</v>
      </c>
      <c r="D27" s="0" t="n">
        <f aca="false">Parse!D31</f>
        <v>9</v>
      </c>
      <c r="E27" s="7" t="str">
        <f aca="false">Parse!E31</f>
        <v>Гимназия №84</v>
      </c>
      <c r="F27" s="0" t="n">
        <f aca="false">Parse!F31</f>
        <v>0</v>
      </c>
      <c r="G27" s="8" t="str">
        <f aca="false">IFERROR(MID(Parse!G31,SEARCH("vk.com",Parse!G31),LEN(Parse!G31)),Parse!G31)</f>
        <v>vk.com/anitastashevskaya</v>
      </c>
      <c r="H27" s="0" t="str">
        <f aca="false">Parse!H31</f>
        <v>anita.stashevskaya@mail.ru</v>
      </c>
      <c r="I27" s="0" t="str">
        <f aca="false">VLOOKUP(Parse!I31,$M$1:$N$11,2,FALSE())</f>
        <v>Физика(Шумаков)</v>
      </c>
      <c r="J27" s="0" t="str">
        <f aca="false">VLOOKUP(Parse!J31,$M$1:$N$11,2,FALSE())</f>
        <v>Программирование(Шульга)</v>
      </c>
      <c r="K27" s="4" t="n">
        <v>2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23</v>
      </c>
      <c r="V27" s="4" t="s">
        <v>23</v>
      </c>
      <c r="W27" s="4" t="s">
        <v>23</v>
      </c>
      <c r="X27" s="4" t="s">
        <v>23</v>
      </c>
      <c r="Y27" s="4" t="s">
        <v>23</v>
      </c>
      <c r="Z27" s="4" t="s">
        <v>23</v>
      </c>
      <c r="AA27" s="4" t="s">
        <v>23</v>
      </c>
      <c r="AB27" s="4" t="s">
        <v>23</v>
      </c>
      <c r="AC27" s="4" t="s">
        <v>23</v>
      </c>
      <c r="AD27" s="4" t="s">
        <v>23</v>
      </c>
      <c r="AE27" s="4" t="s">
        <v>23</v>
      </c>
      <c r="AF27" s="4" t="s">
        <v>23</v>
      </c>
      <c r="AG27" s="4" t="s">
        <v>23</v>
      </c>
      <c r="AH27" s="4" t="s">
        <v>23</v>
      </c>
      <c r="AI27" s="4" t="s">
        <v>23</v>
      </c>
      <c r="AJ27" s="4" t="s">
        <v>23</v>
      </c>
      <c r="AK27" s="4" t="n">
        <f aca="false">COUNTIF(Q27:Z27,"+")</f>
        <v>0</v>
      </c>
      <c r="AL27" s="4" t="n">
        <f aca="false">COUNTIF(AA27:AJ27,"+")</f>
        <v>0</v>
      </c>
    </row>
    <row r="28" customFormat="false" ht="15.75" hidden="false" customHeight="false" outlineLevel="0" collapsed="false">
      <c r="A28" s="6" t="n">
        <f aca="false">Parse!A32</f>
        <v>42863.76346</v>
      </c>
      <c r="B28" s="18" t="str">
        <f aca="false">Parse!B32</f>
        <v>Турышев</v>
      </c>
      <c r="C28" s="0" t="str">
        <f aca="false">Parse!C32</f>
        <v>Константин</v>
      </c>
      <c r="D28" s="0" t="n">
        <f aca="false">Parse!D32</f>
        <v>10</v>
      </c>
      <c r="E28" s="7" t="str">
        <f aca="false">Parse!E32</f>
        <v>Лицей 64</v>
      </c>
      <c r="F28" s="0" t="n">
        <f aca="false">Parse!F32</f>
        <v>0</v>
      </c>
      <c r="G28" s="8" t="str">
        <f aca="false">IFERROR(MID(Parse!G32,SEARCH("vk.com",Parse!G32),LEN(Parse!G32)),Parse!G32)</f>
        <v>vk.com/id281300280</v>
      </c>
      <c r="H28" s="0" t="str">
        <f aca="false">Parse!H32</f>
        <v>turyshev.konstantin@gmail.com</v>
      </c>
      <c r="I28" s="0" t="str">
        <f aca="false">VLOOKUP(Parse!I32,$M$1:$N$11,2,FALSE())</f>
        <v>Физика(Рутберг)</v>
      </c>
      <c r="J28" s="0" t="str">
        <f aca="false">VLOOKUP(Parse!J32,$M$1:$N$11,2,FALSE())</f>
        <v>Физика(Шумаков)</v>
      </c>
      <c r="K28" s="4" t="n">
        <v>2</v>
      </c>
      <c r="Q28" s="4" t="s">
        <v>21</v>
      </c>
      <c r="R28" s="4" t="s">
        <v>21</v>
      </c>
      <c r="S28" s="4" t="s">
        <v>21</v>
      </c>
      <c r="T28" s="4" t="s">
        <v>21</v>
      </c>
      <c r="U28" s="4" t="s">
        <v>23</v>
      </c>
      <c r="V28" s="4" t="s">
        <v>23</v>
      </c>
      <c r="W28" s="4" t="s">
        <v>23</v>
      </c>
      <c r="X28" s="4" t="s">
        <v>23</v>
      </c>
      <c r="Y28" s="4" t="s">
        <v>23</v>
      </c>
      <c r="Z28" s="4" t="s">
        <v>23</v>
      </c>
      <c r="AA28" s="4" t="s">
        <v>21</v>
      </c>
      <c r="AB28" s="4" t="s">
        <v>21</v>
      </c>
      <c r="AC28" s="4" t="s">
        <v>21</v>
      </c>
      <c r="AD28" s="4" t="s">
        <v>21</v>
      </c>
      <c r="AE28" s="4" t="s">
        <v>21</v>
      </c>
      <c r="AF28" s="4" t="s">
        <v>21</v>
      </c>
      <c r="AG28" s="4" t="s">
        <v>21</v>
      </c>
      <c r="AH28" s="4" t="s">
        <v>21</v>
      </c>
      <c r="AI28" s="4" t="s">
        <v>21</v>
      </c>
      <c r="AJ28" s="4" t="s">
        <v>21</v>
      </c>
      <c r="AK28" s="4" t="n">
        <f aca="false">COUNTIF(Q28:Z28,"+")</f>
        <v>4</v>
      </c>
      <c r="AL28" s="4" t="n">
        <f aca="false">COUNTIF(AA28:AJ28,"+")</f>
        <v>10</v>
      </c>
    </row>
    <row r="29" customFormat="false" ht="15.75" hidden="false" customHeight="false" outlineLevel="0" collapsed="false">
      <c r="A29" s="6" t="n">
        <f aca="false">Parse!A33</f>
        <v>42863.77298</v>
      </c>
      <c r="B29" s="18" t="str">
        <f aca="false">Parse!B33</f>
        <v>Кучин</v>
      </c>
      <c r="C29" s="0" t="str">
        <f aca="false">Parse!C33</f>
        <v>Роман</v>
      </c>
      <c r="D29" s="0" t="n">
        <f aca="false">Parse!D33</f>
        <v>9</v>
      </c>
      <c r="E29" s="7" t="str">
        <f aca="false">Parse!E33</f>
        <v>БОУ МОЦРО 117</v>
      </c>
      <c r="F29" s="0" t="str">
        <f aca="false">Parse!F33</f>
        <v>Готов трудиться день и ночь</v>
      </c>
      <c r="G29" s="0" t="str">
        <f aca="false">IFERROR(MID(Parse!G33,SEARCH("vk.com",Parse!G33),LEN(Parse!G33)),Parse!G33)</f>
        <v>не умеет пользоваться</v>
      </c>
      <c r="H29" s="0" t="str">
        <f aca="false">Parse!H33</f>
        <v>kuchin_ov@mail.ru</v>
      </c>
      <c r="I29" s="0" t="str">
        <f aca="false">VLOOKUP(Parse!I33,$M$1:$N$11,2,FALSE())</f>
        <v>Право</v>
      </c>
      <c r="J29" s="0" t="str">
        <f aca="false">VLOOKUP(Parse!J33,$M$1:$N$11,2,FALSE())</f>
        <v>Экономика</v>
      </c>
      <c r="K29" s="4" t="n">
        <v>1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23</v>
      </c>
      <c r="V29" s="4" t="s">
        <v>23</v>
      </c>
      <c r="W29" s="4" t="s">
        <v>23</v>
      </c>
      <c r="X29" s="4" t="s">
        <v>23</v>
      </c>
      <c r="Y29" s="4" t="s">
        <v>23</v>
      </c>
      <c r="Z29" s="4" t="s">
        <v>23</v>
      </c>
      <c r="AA29" s="4" t="s">
        <v>23</v>
      </c>
      <c r="AB29" s="4" t="s">
        <v>23</v>
      </c>
      <c r="AC29" s="4" t="s">
        <v>23</v>
      </c>
      <c r="AD29" s="4" t="s">
        <v>23</v>
      </c>
      <c r="AE29" s="4" t="s">
        <v>23</v>
      </c>
      <c r="AF29" s="4" t="s">
        <v>23</v>
      </c>
      <c r="AG29" s="4" t="s">
        <v>23</v>
      </c>
      <c r="AH29" s="4" t="s">
        <v>23</v>
      </c>
      <c r="AI29" s="4" t="s">
        <v>23</v>
      </c>
      <c r="AJ29" s="4" t="s">
        <v>23</v>
      </c>
      <c r="AK29" s="4" t="n">
        <f aca="false">COUNTIF(Q29:Z29,"+")</f>
        <v>0</v>
      </c>
      <c r="AL29" s="4" t="n">
        <f aca="false">COUNTIF(AA29:AJ29,"+")</f>
        <v>0</v>
      </c>
    </row>
    <row r="30" customFormat="false" ht="15.75" hidden="false" customHeight="false" outlineLevel="0" collapsed="false">
      <c r="A30" s="6" t="n">
        <f aca="false">Parse!A35</f>
        <v>42863.83598</v>
      </c>
      <c r="B30" s="17" t="str">
        <f aca="false">Parse!B35</f>
        <v>Ткачёва</v>
      </c>
      <c r="C30" s="0" t="str">
        <f aca="false">Parse!C35</f>
        <v>Евгения</v>
      </c>
      <c r="D30" s="0" t="n">
        <f aca="false">Parse!D35</f>
        <v>10</v>
      </c>
      <c r="E30" s="7" t="str">
        <f aca="false">Parse!E35</f>
        <v>лицей 143</v>
      </c>
      <c r="F30" s="0" t="n">
        <f aca="false">Parse!F35</f>
        <v>0</v>
      </c>
      <c r="G30" s="8" t="str">
        <f aca="false">IFERROR(MID(Parse!G35,SEARCH("vk.com",Parse!G35),LEN(Parse!G35)),Parse!G35)</f>
        <v>vk.com/zhenek1979</v>
      </c>
      <c r="H30" s="0" t="str">
        <f aca="false">Parse!H35</f>
        <v>TkachevaE143@gmail.com</v>
      </c>
      <c r="I30" s="0" t="str">
        <f aca="false">VLOOKUP(Parse!I35,$M$1:$N$11,2,FALSE())</f>
        <v>Испанский</v>
      </c>
      <c r="J30" s="0" t="str">
        <f aca="false">VLOOKUP(Parse!J35,$M$1:$N$11,2,FALSE())</f>
        <v>Испанский</v>
      </c>
      <c r="K30" s="4" t="n">
        <v>2</v>
      </c>
      <c r="Q30" s="4" t="s">
        <v>21</v>
      </c>
      <c r="R30" s="4" t="s">
        <v>21</v>
      </c>
      <c r="S30" s="4" t="s">
        <v>21</v>
      </c>
      <c r="T30" s="4" t="s">
        <v>21</v>
      </c>
      <c r="U30" s="4" t="s">
        <v>21</v>
      </c>
      <c r="V30" s="4" t="s">
        <v>21</v>
      </c>
      <c r="W30" s="4" t="s">
        <v>21</v>
      </c>
      <c r="X30" s="4" t="s">
        <v>21</v>
      </c>
      <c r="Y30" s="4" t="s">
        <v>21</v>
      </c>
      <c r="Z30" s="4" t="s">
        <v>21</v>
      </c>
      <c r="AA30" s="4" t="s">
        <v>21</v>
      </c>
      <c r="AB30" s="4" t="s">
        <v>21</v>
      </c>
      <c r="AC30" s="4" t="s">
        <v>21</v>
      </c>
      <c r="AD30" s="4" t="s">
        <v>21</v>
      </c>
      <c r="AE30" s="4" t="s">
        <v>21</v>
      </c>
      <c r="AF30" s="4" t="s">
        <v>21</v>
      </c>
      <c r="AG30" s="4" t="s">
        <v>21</v>
      </c>
      <c r="AH30" s="4" t="s">
        <v>21</v>
      </c>
      <c r="AI30" s="4" t="s">
        <v>21</v>
      </c>
      <c r="AJ30" s="4" t="s">
        <v>21</v>
      </c>
      <c r="AK30" s="4" t="n">
        <f aca="false">COUNTIF(Q30:Z30,"+")</f>
        <v>10</v>
      </c>
      <c r="AL30" s="4" t="n">
        <f aca="false">COUNTIF(AA30:AJ30,"+")</f>
        <v>10</v>
      </c>
    </row>
    <row r="31" customFormat="false" ht="15.75" hidden="false" customHeight="false" outlineLevel="0" collapsed="false">
      <c r="A31" s="6" t="n">
        <f aca="false">Parse!A36</f>
        <v>42863.85564</v>
      </c>
      <c r="B31" s="17" t="str">
        <f aca="false">Parse!B36</f>
        <v>Фадеева</v>
      </c>
      <c r="C31" s="0" t="str">
        <f aca="false">Parse!C36</f>
        <v>Алена</v>
      </c>
      <c r="D31" s="0" t="n">
        <f aca="false">Parse!D36</f>
        <v>11</v>
      </c>
      <c r="E31" s="7" t="str">
        <f aca="false">Parse!E36</f>
        <v>Лицей 64</v>
      </c>
      <c r="F31" s="0" t="str">
        <f aca="false">Parse!F36</f>
        <v>Возможно уеду на время проведения,но возможно и нет!</v>
      </c>
      <c r="G31" s="8" t="str">
        <f aca="false">IFERROR(MID(Parse!G36,SEARCH("vk.com",Parse!G36),LEN(Parse!G36)),Parse!G36)</f>
        <v>vk.com/alenushkaa_a</v>
      </c>
      <c r="H31" s="0" t="str">
        <f aca="false">Parse!H36</f>
        <v>Angela199910@mail.ru</v>
      </c>
      <c r="I31" s="0" t="str">
        <f aca="false">VLOOKUP(Parse!I36,$M$1:$N$11,2,FALSE())</f>
        <v>Биоинформатика</v>
      </c>
      <c r="J31" s="0" t="str">
        <f aca="false">VLOOKUP(Parse!J36,$M$1:$N$11,2,FALSE())</f>
        <v>Испанский</v>
      </c>
      <c r="K31" s="4" t="n">
        <v>2</v>
      </c>
      <c r="M31" s="4"/>
      <c r="Q31" s="4" t="s">
        <v>21</v>
      </c>
      <c r="R31" s="4" t="s">
        <v>21</v>
      </c>
      <c r="S31" s="4" t="s">
        <v>21</v>
      </c>
      <c r="T31" s="4" t="s">
        <v>21</v>
      </c>
      <c r="U31" s="4" t="s">
        <v>21</v>
      </c>
      <c r="V31" s="4" t="s">
        <v>21</v>
      </c>
      <c r="W31" s="4" t="s">
        <v>21</v>
      </c>
      <c r="X31" s="4" t="s">
        <v>21</v>
      </c>
      <c r="Y31" s="4" t="s">
        <v>21</v>
      </c>
      <c r="Z31" s="4" t="s">
        <v>21</v>
      </c>
      <c r="AA31" s="4" t="s">
        <v>21</v>
      </c>
      <c r="AB31" s="4" t="s">
        <v>21</v>
      </c>
      <c r="AC31" s="4" t="s">
        <v>21</v>
      </c>
      <c r="AD31" s="4" t="s">
        <v>21</v>
      </c>
      <c r="AE31" s="4" t="s">
        <v>21</v>
      </c>
      <c r="AF31" s="4" t="s">
        <v>21</v>
      </c>
      <c r="AG31" s="4" t="s">
        <v>21</v>
      </c>
      <c r="AH31" s="4" t="s">
        <v>21</v>
      </c>
      <c r="AI31" s="4" t="s">
        <v>21</v>
      </c>
      <c r="AJ31" s="4" t="s">
        <v>21</v>
      </c>
      <c r="AK31" s="4" t="n">
        <f aca="false">COUNTIF(Q31:Z31,"+")</f>
        <v>10</v>
      </c>
      <c r="AL31" s="4" t="n">
        <f aca="false">COUNTIF(AA31:AJ31,"+")</f>
        <v>10</v>
      </c>
    </row>
    <row r="32" customFormat="false" ht="15.75" hidden="false" customHeight="false" outlineLevel="0" collapsed="false">
      <c r="A32" s="6" t="n">
        <f aca="false">Parse!A37</f>
        <v>42863.87248</v>
      </c>
      <c r="B32" s="17" t="str">
        <f aca="false">Parse!B37</f>
        <v>Балакина</v>
      </c>
      <c r="C32" s="0" t="str">
        <f aca="false">Parse!C37</f>
        <v>Юлия</v>
      </c>
      <c r="D32" s="0" t="n">
        <f aca="false">Parse!D37</f>
        <v>8</v>
      </c>
      <c r="E32" s="7" t="str">
        <f aca="false">Parse!E37</f>
        <v>академический лицей</v>
      </c>
      <c r="F32" s="0" t="n">
        <f aca="false">Parse!F37</f>
        <v>0</v>
      </c>
      <c r="G32" s="8" t="str">
        <f aca="false">IFERROR(MID(Parse!G37,SEARCH("vk.com",Parse!G37),LEN(Parse!G37)),Parse!G37)</f>
        <v>vk.com/yulyabalakina</v>
      </c>
      <c r="H32" s="0" t="str">
        <f aca="false">Parse!H37</f>
        <v>Batw@mail.ru</v>
      </c>
      <c r="I32" s="0" t="str">
        <f aca="false">VLOOKUP(Parse!I37,$M$1:$N$11,2,FALSE())</f>
        <v>Физика(Рутберг)</v>
      </c>
      <c r="J32" s="0" t="str">
        <f aca="false">VLOOKUP(Parse!J37,$M$1:$N$11,2,FALSE())</f>
        <v>Математика(Кудык)</v>
      </c>
      <c r="K32" s="4" t="n">
        <v>2</v>
      </c>
      <c r="Q32" s="4" t="s">
        <v>21</v>
      </c>
      <c r="R32" s="4" t="s">
        <v>21</v>
      </c>
      <c r="S32" s="4" t="s">
        <v>21</v>
      </c>
      <c r="T32" s="4" t="s">
        <v>21</v>
      </c>
      <c r="U32" s="4" t="s">
        <v>23</v>
      </c>
      <c r="V32" s="4" t="s">
        <v>23</v>
      </c>
      <c r="W32" s="4" t="s">
        <v>21</v>
      </c>
      <c r="X32" s="4" t="s">
        <v>21</v>
      </c>
      <c r="Y32" s="4" t="s">
        <v>21</v>
      </c>
      <c r="Z32" s="4" t="s">
        <v>21</v>
      </c>
      <c r="AA32" s="4" t="s">
        <v>21</v>
      </c>
      <c r="AB32" s="4" t="s">
        <v>21</v>
      </c>
      <c r="AC32" s="4" t="s">
        <v>21</v>
      </c>
      <c r="AD32" s="4" t="s">
        <v>21</v>
      </c>
      <c r="AE32" s="4" t="s">
        <v>21</v>
      </c>
      <c r="AF32" s="4" t="s">
        <v>21</v>
      </c>
      <c r="AG32" s="4" t="s">
        <v>21</v>
      </c>
      <c r="AH32" s="4" t="s">
        <v>21</v>
      </c>
      <c r="AI32" s="4" t="s">
        <v>21</v>
      </c>
      <c r="AJ32" s="4" t="s">
        <v>21</v>
      </c>
      <c r="AK32" s="4" t="n">
        <f aca="false">COUNTIF(Q32:Z32,"+")</f>
        <v>8</v>
      </c>
      <c r="AL32" s="4" t="n">
        <f aca="false">COUNTIF(AA32:AJ32,"+")</f>
        <v>10</v>
      </c>
    </row>
    <row r="33" customFormat="false" ht="15.75" hidden="false" customHeight="false" outlineLevel="0" collapsed="false">
      <c r="A33" s="6" t="n">
        <f aca="false">Parse!A38</f>
        <v>42863.88949</v>
      </c>
      <c r="B33" s="19" t="str">
        <f aca="false">Parse!B38</f>
        <v>Суднев</v>
      </c>
      <c r="C33" s="0" t="str">
        <f aca="false">Parse!C38</f>
        <v>Владимир</v>
      </c>
      <c r="D33" s="0" t="n">
        <f aca="false">Parse!D38</f>
        <v>9</v>
      </c>
      <c r="E33" s="7" t="str">
        <f aca="false">Parse!E38</f>
        <v>149</v>
      </c>
      <c r="F33" s="0" t="n">
        <f aca="false">Parse!F38</f>
        <v>0</v>
      </c>
      <c r="G33" s="8" t="str">
        <f aca="false">IFERROR(MID(Parse!G38,SEARCH("vk.com",Parse!G38),LEN(Parse!G38)),Parse!G38)</f>
        <v>vk.com/dref55</v>
      </c>
      <c r="H33" s="0" t="str">
        <f aca="false">Parse!H38</f>
        <v>ferstly@yandex.ru</v>
      </c>
      <c r="I33" s="0" t="str">
        <f aca="false">VLOOKUP(Parse!I38,$M$1:$N$11,2,FALSE())</f>
        <v>Физика(Рутберг)</v>
      </c>
      <c r="J33" s="0" t="str">
        <f aca="false">VLOOKUP(Parse!J38,$M$1:$N$11,2,FALSE())</f>
        <v>Экономика</v>
      </c>
      <c r="K33" s="4" t="n">
        <v>2</v>
      </c>
      <c r="Q33" s="4" t="s">
        <v>21</v>
      </c>
      <c r="R33" s="4" t="s">
        <v>21</v>
      </c>
      <c r="S33" s="4" t="s">
        <v>21</v>
      </c>
      <c r="T33" s="4" t="s">
        <v>21</v>
      </c>
      <c r="U33" s="4" t="s">
        <v>21</v>
      </c>
      <c r="V33" s="4" t="s">
        <v>21</v>
      </c>
      <c r="W33" s="4" t="s">
        <v>21</v>
      </c>
      <c r="X33" s="4" t="s">
        <v>21</v>
      </c>
      <c r="Y33" s="4" t="s">
        <v>21</v>
      </c>
      <c r="Z33" s="4" t="s">
        <v>21</v>
      </c>
      <c r="AA33" s="4" t="s">
        <v>21</v>
      </c>
      <c r="AB33" s="4" t="s">
        <v>21</v>
      </c>
      <c r="AC33" s="4" t="s">
        <v>21</v>
      </c>
      <c r="AD33" s="4" t="s">
        <v>21</v>
      </c>
      <c r="AE33" s="4" t="s">
        <v>21</v>
      </c>
      <c r="AF33" s="4" t="s">
        <v>21</v>
      </c>
      <c r="AG33" s="4" t="s">
        <v>21</v>
      </c>
      <c r="AH33" s="4" t="s">
        <v>21</v>
      </c>
      <c r="AI33" s="4" t="s">
        <v>21</v>
      </c>
      <c r="AJ33" s="4" t="s">
        <v>21</v>
      </c>
      <c r="AK33" s="4" t="n">
        <f aca="false">COUNTIF(Q33:Z33,"+")</f>
        <v>10</v>
      </c>
      <c r="AL33" s="4" t="n">
        <f aca="false">COUNTIF(AA33:AJ33,"+")</f>
        <v>10</v>
      </c>
    </row>
    <row r="34" customFormat="false" ht="15.75" hidden="false" customHeight="false" outlineLevel="0" collapsed="false">
      <c r="A34" s="6" t="n">
        <f aca="false">Parse!A39</f>
        <v>42864.31879</v>
      </c>
      <c r="B34" s="17" t="str">
        <f aca="false">Parse!B39</f>
        <v>Шевцов</v>
      </c>
      <c r="C34" s="0" t="str">
        <f aca="false">Parse!C39</f>
        <v>Владислав</v>
      </c>
      <c r="D34" s="0" t="n">
        <f aca="false">Parse!D39</f>
        <v>10</v>
      </c>
      <c r="E34" s="7" t="str">
        <f aca="false">Parse!E39</f>
        <v>Лицей 92</v>
      </c>
      <c r="F34" s="0" t="str">
        <f aca="false">Parse!F39</f>
        <v>Возможно, могут быть обстоятельства,  по которым вынужден буду отказаться, но постараюсь предупредить заранее</v>
      </c>
      <c r="G34" s="8" t="str">
        <f aca="false">IFERROR(MID(Parse!G39,SEARCH("vk.com",Parse!G39),LEN(Parse!G39)),Parse!G39)</f>
        <v>vk.com/shefat</v>
      </c>
      <c r="H34" s="0" t="str">
        <f aca="false">Parse!H39</f>
        <v>InEveryGoodShefat@gmail.com</v>
      </c>
      <c r="I34" s="0" t="str">
        <f aca="false">VLOOKUP(Parse!I39,$M$1:$N$11,2,FALSE())</f>
        <v>Физика(Шумаков)</v>
      </c>
      <c r="J34" s="0" t="str">
        <f aca="false">VLOOKUP(Parse!J39,$M$1:$N$11,2,FALSE())</f>
        <v>Математика(Кудык)</v>
      </c>
      <c r="K34" s="4" t="n">
        <v>2</v>
      </c>
      <c r="Q34" s="4" t="s">
        <v>21</v>
      </c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4" t="s">
        <v>21</v>
      </c>
      <c r="X34" s="4" t="s">
        <v>21</v>
      </c>
      <c r="Y34" s="4" t="s">
        <v>21</v>
      </c>
      <c r="Z34" s="4" t="s">
        <v>21</v>
      </c>
      <c r="AA34" s="4" t="s">
        <v>21</v>
      </c>
      <c r="AB34" s="4" t="s">
        <v>21</v>
      </c>
      <c r="AC34" s="4" t="s">
        <v>21</v>
      </c>
      <c r="AD34" s="4" t="s">
        <v>21</v>
      </c>
      <c r="AE34" s="4" t="s">
        <v>21</v>
      </c>
      <c r="AF34" s="4" t="s">
        <v>21</v>
      </c>
      <c r="AG34" s="4" t="s">
        <v>21</v>
      </c>
      <c r="AH34" s="4" t="s">
        <v>21</v>
      </c>
      <c r="AI34" s="4" t="s">
        <v>21</v>
      </c>
      <c r="AJ34" s="4" t="s">
        <v>21</v>
      </c>
      <c r="AK34" s="4" t="n">
        <f aca="false">COUNTIF(Q34:Z34,"+")</f>
        <v>10</v>
      </c>
      <c r="AL34" s="4" t="n">
        <f aca="false">COUNTIF(AA34:AJ34,"+")</f>
        <v>10</v>
      </c>
    </row>
    <row r="35" customFormat="false" ht="15.75" hidden="false" customHeight="false" outlineLevel="0" collapsed="false">
      <c r="A35" s="6" t="n">
        <f aca="false">Parse!A40</f>
        <v>42864.5064</v>
      </c>
      <c r="B35" s="18" t="str">
        <f aca="false">Parse!B40</f>
        <v>Кудашкина</v>
      </c>
      <c r="C35" s="0" t="str">
        <f aca="false">Parse!C40</f>
        <v>Юлия</v>
      </c>
      <c r="D35" s="0" t="n">
        <f aca="false">Parse!D40</f>
        <v>10</v>
      </c>
      <c r="E35" s="7" t="str">
        <f aca="false">Parse!E40</f>
        <v>123</v>
      </c>
      <c r="F35" s="0" t="n">
        <f aca="false">Parse!F40</f>
        <v>0</v>
      </c>
      <c r="G35" s="8" t="str">
        <f aca="false">IFERROR(MID(Parse!G40,SEARCH("vk.com",Parse!G40),LEN(Parse!G40)),Parse!G40)</f>
        <v>vk.com/id183332969</v>
      </c>
      <c r="H35" s="0" t="str">
        <f aca="false">Parse!H40</f>
        <v>moose123@bk.ru</v>
      </c>
      <c r="I35" s="0" t="str">
        <f aca="false">VLOOKUP(Parse!I40,$M$1:$N$11,2,FALSE())</f>
        <v>Испанский</v>
      </c>
      <c r="J35" s="0" t="str">
        <f aca="false">VLOOKUP(Parse!J40,$M$1:$N$11,2,FALSE())</f>
        <v>Биоинформатика</v>
      </c>
      <c r="K35" s="4" t="n">
        <v>2</v>
      </c>
      <c r="Q35" s="4" t="s">
        <v>23</v>
      </c>
      <c r="R35" s="4" t="s">
        <v>23</v>
      </c>
      <c r="S35" s="4" t="s">
        <v>21</v>
      </c>
      <c r="T35" s="4" t="s">
        <v>21</v>
      </c>
      <c r="U35" s="4" t="s">
        <v>23</v>
      </c>
      <c r="V35" s="4" t="s">
        <v>23</v>
      </c>
      <c r="W35" s="4" t="s">
        <v>23</v>
      </c>
      <c r="X35" s="4" t="s">
        <v>23</v>
      </c>
      <c r="Y35" s="4" t="s">
        <v>23</v>
      </c>
      <c r="Z35" s="4" t="s">
        <v>23</v>
      </c>
      <c r="AA35" s="4" t="s">
        <v>23</v>
      </c>
      <c r="AB35" s="4" t="s">
        <v>23</v>
      </c>
      <c r="AC35" s="4" t="s">
        <v>23</v>
      </c>
      <c r="AD35" s="4" t="s">
        <v>23</v>
      </c>
      <c r="AE35" s="4" t="s">
        <v>23</v>
      </c>
      <c r="AF35" s="4" t="s">
        <v>23</v>
      </c>
      <c r="AG35" s="4" t="s">
        <v>23</v>
      </c>
      <c r="AH35" s="4" t="s">
        <v>23</v>
      </c>
      <c r="AI35" s="4" t="s">
        <v>23</v>
      </c>
      <c r="AJ35" s="4" t="s">
        <v>23</v>
      </c>
      <c r="AK35" s="4" t="n">
        <f aca="false">COUNTIF(Q35:Z35,"+")</f>
        <v>2</v>
      </c>
      <c r="AL35" s="4" t="n">
        <f aca="false">COUNTIF(AA35:AJ35,"+")</f>
        <v>0</v>
      </c>
    </row>
    <row r="36" customFormat="false" ht="15.75" hidden="false" customHeight="false" outlineLevel="0" collapsed="false">
      <c r="A36" s="6" t="n">
        <f aca="false">Parse!A41</f>
        <v>42864.53575</v>
      </c>
      <c r="B36" s="20" t="str">
        <f aca="false">Parse!B41</f>
        <v>Кельцев</v>
      </c>
      <c r="C36" s="0" t="str">
        <f aca="false">Parse!C41</f>
        <v>Павел</v>
      </c>
      <c r="D36" s="0" t="n">
        <f aca="false">Parse!D41</f>
        <v>10</v>
      </c>
      <c r="E36" s="7" t="str">
        <f aca="false">Parse!E41</f>
        <v>64</v>
      </c>
      <c r="F36" s="0" t="n">
        <f aca="false">Parse!F41</f>
        <v>0</v>
      </c>
      <c r="G36" s="8" t="str">
        <f aca="false">IFERROR(MID(Parse!G41,SEARCH("vk.com",Parse!G41),LEN(Parse!G41)),Parse!G41)</f>
        <v>vk.com/pkeltsev</v>
      </c>
      <c r="H36" s="0" t="str">
        <f aca="false">Parse!H41</f>
        <v>pkeltsev@yandex.ru</v>
      </c>
      <c r="I36" s="0" t="n">
        <f aca="false">VLOOKUP(Parse!I41,$M$1:$N$11,2,FALSE())</f>
        <v>0</v>
      </c>
      <c r="J36" s="0" t="str">
        <f aca="false">VLOOKUP(Parse!J41,$M$1:$N$11,2,FALSE())</f>
        <v>Программирование(Шульга)</v>
      </c>
      <c r="K36" s="4" t="n">
        <v>2</v>
      </c>
      <c r="L36" s="4" t="s">
        <v>32</v>
      </c>
      <c r="M36" s="4"/>
      <c r="Q36" s="4" t="s">
        <v>23</v>
      </c>
      <c r="R36" s="4" t="s">
        <v>23</v>
      </c>
      <c r="S36" s="4" t="s">
        <v>23</v>
      </c>
      <c r="T36" s="4" t="s">
        <v>23</v>
      </c>
      <c r="U36" s="4" t="s">
        <v>23</v>
      </c>
      <c r="V36" s="4" t="s">
        <v>23</v>
      </c>
      <c r="W36" s="4" t="s">
        <v>23</v>
      </c>
      <c r="X36" s="4" t="s">
        <v>23</v>
      </c>
      <c r="Y36" s="4" t="s">
        <v>23</v>
      </c>
      <c r="Z36" s="4" t="s">
        <v>23</v>
      </c>
      <c r="AA36" s="4" t="s">
        <v>23</v>
      </c>
      <c r="AB36" s="4" t="s">
        <v>23</v>
      </c>
      <c r="AC36" s="4" t="s">
        <v>23</v>
      </c>
      <c r="AD36" s="4" t="s">
        <v>23</v>
      </c>
      <c r="AE36" s="4" t="s">
        <v>23</v>
      </c>
      <c r="AF36" s="4" t="s">
        <v>23</v>
      </c>
      <c r="AG36" s="4" t="s">
        <v>23</v>
      </c>
      <c r="AH36" s="4" t="s">
        <v>23</v>
      </c>
      <c r="AI36" s="4" t="s">
        <v>23</v>
      </c>
      <c r="AJ36" s="4" t="s">
        <v>23</v>
      </c>
      <c r="AK36" s="4" t="n">
        <f aca="false">COUNTIF(Q36:Z36,"+")</f>
        <v>0</v>
      </c>
      <c r="AL36" s="4" t="n">
        <f aca="false">COUNTIF(AA36:AJ36,"+")</f>
        <v>0</v>
      </c>
    </row>
    <row r="37" customFormat="false" ht="15.75" hidden="false" customHeight="false" outlineLevel="0" collapsed="false">
      <c r="A37" s="6" t="n">
        <f aca="false">Parse!A42</f>
        <v>42864.54952</v>
      </c>
      <c r="B37" s="19" t="str">
        <f aca="false">Parse!B42</f>
        <v>Задворнов</v>
      </c>
      <c r="C37" s="0" t="str">
        <f aca="false">Parse!C42</f>
        <v>Вячеслав</v>
      </c>
      <c r="D37" s="0" t="n">
        <f aca="false">Parse!D42</f>
        <v>10</v>
      </c>
      <c r="E37" s="7" t="str">
        <f aca="false">Parse!E42</f>
        <v>34</v>
      </c>
      <c r="F37" s="0" t="n">
        <f aca="false">Parse!F42</f>
        <v>0</v>
      </c>
      <c r="G37" s="8" t="str">
        <f aca="false">IFERROR(MID(Parse!G42,SEARCH("vk.com",Parse!G42),LEN(Parse!G42)),Parse!G42)</f>
        <v>vk.com/id209670944</v>
      </c>
      <c r="H37" s="0" t="str">
        <f aca="false">Parse!H42</f>
        <v>takov_08@mail.ru</v>
      </c>
      <c r="I37" s="0" t="str">
        <f aca="false">VLOOKUP(Parse!I42,$M$1:$N$11,2,FALSE())</f>
        <v>Математика(Кудык)</v>
      </c>
      <c r="J37" s="0" t="str">
        <f aca="false">VLOOKUP(Parse!J42,$M$1:$N$11,2,FALSE())</f>
        <v>Математика(Строженко)</v>
      </c>
      <c r="K37" s="4" t="n">
        <v>2</v>
      </c>
      <c r="Q37" s="4" t="s">
        <v>21</v>
      </c>
      <c r="R37" s="4" t="s">
        <v>21</v>
      </c>
      <c r="S37" s="4" t="s">
        <v>21</v>
      </c>
      <c r="T37" s="4" t="s">
        <v>21</v>
      </c>
      <c r="U37" s="4" t="s">
        <v>21</v>
      </c>
      <c r="V37" s="4" t="s">
        <v>21</v>
      </c>
      <c r="W37" s="4" t="s">
        <v>21</v>
      </c>
      <c r="X37" s="4" t="s">
        <v>21</v>
      </c>
      <c r="Y37" s="4" t="s">
        <v>21</v>
      </c>
      <c r="Z37" s="4" t="s">
        <v>21</v>
      </c>
      <c r="AA37" s="4" t="s">
        <v>21</v>
      </c>
      <c r="AB37" s="4" t="s">
        <v>21</v>
      </c>
      <c r="AC37" s="4" t="s">
        <v>21</v>
      </c>
      <c r="AD37" s="4" t="s">
        <v>21</v>
      </c>
      <c r="AE37" s="4" t="s">
        <v>21</v>
      </c>
      <c r="AF37" s="4" t="s">
        <v>21</v>
      </c>
      <c r="AG37" s="4" t="s">
        <v>21</v>
      </c>
      <c r="AH37" s="4" t="s">
        <v>21</v>
      </c>
      <c r="AI37" s="4" t="s">
        <v>23</v>
      </c>
      <c r="AJ37" s="4" t="s">
        <v>23</v>
      </c>
      <c r="AK37" s="4" t="n">
        <f aca="false">COUNTIF(Q37:Z37,"+")</f>
        <v>10</v>
      </c>
      <c r="AL37" s="4" t="n">
        <f aca="false">COUNTIF(AA37:AJ37,"+")</f>
        <v>8</v>
      </c>
    </row>
    <row r="38" customFormat="false" ht="15.75" hidden="false" customHeight="false" outlineLevel="0" collapsed="false">
      <c r="A38" s="6" t="n">
        <f aca="false">Parse!A43</f>
        <v>42864.55301</v>
      </c>
      <c r="B38" s="17" t="str">
        <f aca="false">Parse!B43</f>
        <v>Захаров</v>
      </c>
      <c r="C38" s="0" t="str">
        <f aca="false">Parse!C43</f>
        <v>Всеволод</v>
      </c>
      <c r="D38" s="0" t="n">
        <f aca="false">Parse!D43</f>
        <v>9</v>
      </c>
      <c r="E38" s="7" t="str">
        <f aca="false">Parse!E43</f>
        <v>Лицей №92</v>
      </c>
      <c r="F38" s="0" t="n">
        <f aca="false">Parse!F43</f>
        <v>0</v>
      </c>
      <c r="G38" s="8" t="str">
        <f aca="false">IFERROR(MID(Parse!G43,SEARCH("vk.com",Parse!G43),LEN(Parse!G43)),Parse!G43)</f>
        <v>vk.com/id288643683</v>
      </c>
      <c r="H38" s="0" t="str">
        <f aca="false">Parse!H43</f>
        <v>seva_zakharov@mail.ru</v>
      </c>
      <c r="I38" s="0" t="str">
        <f aca="false">VLOOKUP(Parse!I43,$M$1:$N$11,2,FALSE())</f>
        <v>Программирование(Свет)</v>
      </c>
      <c r="J38" s="0" t="str">
        <f aca="false">VLOOKUP(Parse!J43,$M$1:$N$11,2,FALSE())</f>
        <v>Математика(Кудык)</v>
      </c>
      <c r="K38" s="4" t="n">
        <v>2</v>
      </c>
      <c r="Q38" s="4" t="s">
        <v>21</v>
      </c>
      <c r="R38" s="4" t="s">
        <v>21</v>
      </c>
      <c r="S38" s="4" t="s">
        <v>21</v>
      </c>
      <c r="T38" s="4" t="s">
        <v>21</v>
      </c>
      <c r="U38" s="4" t="s">
        <v>23</v>
      </c>
      <c r="V38" s="4" t="s">
        <v>23</v>
      </c>
      <c r="W38" s="4" t="s">
        <v>21</v>
      </c>
      <c r="X38" s="4" t="s">
        <v>21</v>
      </c>
      <c r="Y38" s="4" t="s">
        <v>21</v>
      </c>
      <c r="Z38" s="4" t="s">
        <v>21</v>
      </c>
      <c r="AA38" s="4" t="s">
        <v>21</v>
      </c>
      <c r="AB38" s="4" t="s">
        <v>21</v>
      </c>
      <c r="AC38" s="4" t="s">
        <v>21</v>
      </c>
      <c r="AD38" s="4" t="s">
        <v>21</v>
      </c>
      <c r="AE38" s="4" t="s">
        <v>21</v>
      </c>
      <c r="AF38" s="4" t="s">
        <v>21</v>
      </c>
      <c r="AG38" s="4" t="s">
        <v>21</v>
      </c>
      <c r="AH38" s="4" t="s">
        <v>21</v>
      </c>
      <c r="AI38" s="4" t="s">
        <v>21</v>
      </c>
      <c r="AJ38" s="4" t="s">
        <v>21</v>
      </c>
      <c r="AK38" s="4" t="n">
        <f aca="false">COUNTIF(Q38:Z38,"+")</f>
        <v>8</v>
      </c>
      <c r="AL38" s="4" t="n">
        <f aca="false">COUNTIF(AA38:AJ38,"+")</f>
        <v>10</v>
      </c>
    </row>
    <row r="39" customFormat="false" ht="15.75" hidden="false" customHeight="false" outlineLevel="0" collapsed="false">
      <c r="A39" s="6" t="n">
        <f aca="false">Parse!A44</f>
        <v>42864.58386</v>
      </c>
      <c r="B39" s="17" t="str">
        <f aca="false">Parse!B44</f>
        <v>Уманский</v>
      </c>
      <c r="C39" s="0" t="str">
        <f aca="false">Parse!C44</f>
        <v>Роман</v>
      </c>
      <c r="D39" s="0" t="n">
        <f aca="false">Parse!D44</f>
        <v>9</v>
      </c>
      <c r="E39" s="7" t="str">
        <f aca="false">Parse!E44</f>
        <v>БОУ "лицей № 64"</v>
      </c>
      <c r="F39" s="0" t="str">
        <f aca="false">Parse!F44</f>
        <v>по возможности записать в группу с Киямовой Наилей</v>
      </c>
      <c r="G39" s="8" t="str">
        <f aca="false">IFERROR(MID(Parse!G44,SEARCH("vk.com",Parse!G44),LEN(Parse!G44)),Parse!G44)</f>
        <v>vk.com/umnayshe4ka</v>
      </c>
      <c r="H39" s="0" t="str">
        <f aca="false">Parse!H44</f>
        <v>superpo4ta.rom@gmail.com</v>
      </c>
      <c r="I39" s="0" t="str">
        <f aca="false">VLOOKUP(Parse!I44,$M$1:$N$11,2,FALSE())</f>
        <v>Программирование(Свет)</v>
      </c>
      <c r="J39" s="0" t="str">
        <f aca="false">VLOOKUP(Parse!J44,$M$1:$N$11,2,FALSE())</f>
        <v>Испанский</v>
      </c>
      <c r="K39" s="4" t="n">
        <v>2</v>
      </c>
      <c r="Q39" s="4" t="s">
        <v>21</v>
      </c>
      <c r="R39" s="4" t="s">
        <v>21</v>
      </c>
      <c r="S39" s="4" t="s">
        <v>21</v>
      </c>
      <c r="T39" s="4" t="s">
        <v>21</v>
      </c>
      <c r="U39" s="4" t="s">
        <v>21</v>
      </c>
      <c r="V39" s="4" t="s">
        <v>21</v>
      </c>
      <c r="W39" s="4" t="s">
        <v>21</v>
      </c>
      <c r="X39" s="4" t="s">
        <v>21</v>
      </c>
      <c r="Y39" s="4" t="s">
        <v>21</v>
      </c>
      <c r="Z39" s="4" t="s">
        <v>21</v>
      </c>
      <c r="AC39" s="4" t="s">
        <v>21</v>
      </c>
      <c r="AD39" s="4" t="s">
        <v>21</v>
      </c>
      <c r="AE39" s="4" t="s">
        <v>21</v>
      </c>
      <c r="AF39" s="4" t="s">
        <v>21</v>
      </c>
      <c r="AG39" s="4" t="s">
        <v>21</v>
      </c>
      <c r="AH39" s="4" t="s">
        <v>21</v>
      </c>
      <c r="AI39" s="4" t="s">
        <v>21</v>
      </c>
      <c r="AJ39" s="4" t="s">
        <v>21</v>
      </c>
      <c r="AK39" s="4" t="n">
        <f aca="false">COUNTIF(Q39:Z39,"+")</f>
        <v>10</v>
      </c>
      <c r="AL39" s="4" t="n">
        <f aca="false">COUNTIF(AA39:AJ39,"+")</f>
        <v>8</v>
      </c>
    </row>
    <row r="40" customFormat="false" ht="15.75" hidden="false" customHeight="false" outlineLevel="0" collapsed="false">
      <c r="A40" s="6" t="n">
        <f aca="false">Parse!A45</f>
        <v>42864.61451</v>
      </c>
      <c r="B40" s="19" t="str">
        <f aca="false">Parse!B45</f>
        <v>Вачев</v>
      </c>
      <c r="C40" s="0" t="str">
        <f aca="false">Parse!C45</f>
        <v>Иван</v>
      </c>
      <c r="D40" s="0" t="n">
        <f aca="false">Parse!D45</f>
        <v>10</v>
      </c>
      <c r="E40" s="7" t="str">
        <f aca="false">Parse!E45</f>
        <v>19</v>
      </c>
      <c r="F40" s="0" t="n">
        <f aca="false">Parse!F45</f>
        <v>0</v>
      </c>
      <c r="G40" s="8" t="str">
        <f aca="false">IFERROR(MID(Parse!G45,SEARCH("vk.com",Parse!G45),LEN(Parse!G45)),Parse!G45)</f>
        <v>vk.com/ivan_vachev</v>
      </c>
      <c r="H40" s="0" t="str">
        <f aca="false">Parse!H45</f>
        <v>t.vacheva@mail.ru</v>
      </c>
      <c r="I40" s="0" t="str">
        <f aca="false">VLOOKUP(Parse!I45,$M$1:$N$11,2,FALSE())</f>
        <v>Программирование(Свет)</v>
      </c>
      <c r="J40" s="0" t="str">
        <f aca="false">VLOOKUP(Parse!J45,$M$1:$N$11,2,FALSE())</f>
        <v>Математика(Строженко)</v>
      </c>
      <c r="K40" s="4" t="n">
        <v>2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23</v>
      </c>
      <c r="V40" s="4" t="s">
        <v>23</v>
      </c>
      <c r="W40" s="4" t="s">
        <v>21</v>
      </c>
      <c r="X40" s="4" t="s">
        <v>21</v>
      </c>
      <c r="Y40" s="4" t="s">
        <v>21</v>
      </c>
      <c r="Z40" s="4" t="s">
        <v>21</v>
      </c>
      <c r="AA40" s="4" t="s">
        <v>21</v>
      </c>
      <c r="AB40" s="4" t="s">
        <v>21</v>
      </c>
      <c r="AC40" s="4" t="s">
        <v>23</v>
      </c>
      <c r="AD40" s="4" t="s">
        <v>23</v>
      </c>
      <c r="AE40" s="4" t="s">
        <v>23</v>
      </c>
      <c r="AF40" s="4" t="s">
        <v>23</v>
      </c>
      <c r="AG40" s="4" t="s">
        <v>23</v>
      </c>
      <c r="AH40" s="4" t="s">
        <v>23</v>
      </c>
      <c r="AI40" s="4" t="s">
        <v>23</v>
      </c>
      <c r="AJ40" s="4" t="s">
        <v>23</v>
      </c>
      <c r="AK40" s="4" t="n">
        <f aca="false">COUNTIF(Q40:Z40,"+")</f>
        <v>4</v>
      </c>
      <c r="AL40" s="4" t="n">
        <f aca="false">COUNTIF(AA40:AJ40,"+")</f>
        <v>2</v>
      </c>
    </row>
    <row r="41" customFormat="false" ht="15.75" hidden="false" customHeight="false" outlineLevel="0" collapsed="false">
      <c r="A41" s="6" t="n">
        <f aca="false">Parse!A46</f>
        <v>42864.75026</v>
      </c>
      <c r="B41" s="18" t="str">
        <f aca="false">Parse!B46</f>
        <v>Золотарев</v>
      </c>
      <c r="C41" s="0" t="str">
        <f aca="false">Parse!C46</f>
        <v>Дмитрий</v>
      </c>
      <c r="D41" s="0" t="n">
        <f aca="false">Parse!D46</f>
        <v>10</v>
      </c>
      <c r="E41" s="7" t="str">
        <f aca="false">Parse!E46</f>
        <v>117</v>
      </c>
      <c r="F41" s="0" t="str">
        <f aca="false">Parse!F46</f>
        <v>Возможно не смогу посетить последние дни школы "Сигма"  из-за отпуска родителей.</v>
      </c>
      <c r="G41" s="8" t="str">
        <f aca="false">IFERROR(MID(Parse!G46,SEARCH("vk.com",Parse!G46),LEN(Parse!G46)),Parse!G46)</f>
        <v>vk.com/zolotadmitriy</v>
      </c>
      <c r="H41" s="0" t="str">
        <f aca="false">Parse!H46</f>
        <v>zoloto6777@list.ru</v>
      </c>
      <c r="I41" s="0" t="str">
        <f aca="false">VLOOKUP(Parse!I46,$M$1:$N$11,2,FALSE())</f>
        <v>Право</v>
      </c>
      <c r="J41" s="0" t="str">
        <f aca="false">VLOOKUP(Parse!J46,$M$1:$N$11,2,FALSE())</f>
        <v>Испанский</v>
      </c>
      <c r="K41" s="4" t="n">
        <v>2</v>
      </c>
      <c r="Q41" s="4" t="s">
        <v>21</v>
      </c>
      <c r="R41" s="4" t="s">
        <v>21</v>
      </c>
      <c r="S41" s="4" t="s">
        <v>21</v>
      </c>
      <c r="T41" s="4" t="s">
        <v>21</v>
      </c>
      <c r="U41" s="4" t="s">
        <v>21</v>
      </c>
      <c r="V41" s="4" t="s">
        <v>21</v>
      </c>
      <c r="W41" s="4" t="s">
        <v>21</v>
      </c>
      <c r="X41" s="4" t="s">
        <v>21</v>
      </c>
      <c r="Y41" s="4" t="s">
        <v>21</v>
      </c>
      <c r="Z41" s="4" t="s">
        <v>21</v>
      </c>
      <c r="AA41" s="4" t="s">
        <v>21</v>
      </c>
      <c r="AB41" s="4" t="s">
        <v>21</v>
      </c>
      <c r="AC41" s="4" t="s">
        <v>23</v>
      </c>
      <c r="AD41" s="4" t="s">
        <v>23</v>
      </c>
      <c r="AE41" s="4" t="s">
        <v>23</v>
      </c>
      <c r="AF41" s="4" t="s">
        <v>23</v>
      </c>
      <c r="AG41" s="4" t="s">
        <v>23</v>
      </c>
      <c r="AH41" s="4" t="s">
        <v>23</v>
      </c>
      <c r="AI41" s="4" t="s">
        <v>23</v>
      </c>
      <c r="AJ41" s="4" t="s">
        <v>23</v>
      </c>
      <c r="AK41" s="4" t="n">
        <f aca="false">COUNTIF(Q41:Z41,"+")</f>
        <v>10</v>
      </c>
      <c r="AL41" s="4" t="n">
        <f aca="false">COUNTIF(AA41:AJ41,"+")</f>
        <v>2</v>
      </c>
    </row>
    <row r="42" customFormat="false" ht="15.75" hidden="false" customHeight="false" outlineLevel="0" collapsed="false">
      <c r="A42" s="6" t="n">
        <f aca="false">Parse!A47</f>
        <v>42864.77583</v>
      </c>
      <c r="B42" s="18" t="str">
        <f aca="false">Parse!B47</f>
        <v>Панов</v>
      </c>
      <c r="C42" s="0" t="str">
        <f aca="false">Parse!C47</f>
        <v>Севастьян</v>
      </c>
      <c r="D42" s="0" t="n">
        <f aca="false">Parse!D47</f>
        <v>8</v>
      </c>
      <c r="E42" s="7" t="str">
        <f aca="false">Parse!E47</f>
        <v>БОУОО"МОЦРО№117"</v>
      </c>
      <c r="F42" s="0" t="n">
        <f aca="false">Parse!F47</f>
        <v>0</v>
      </c>
      <c r="G42" s="8" t="str">
        <f aca="false">IFERROR(MID(Parse!G47,SEARCH("vk.com",Parse!G47),LEN(Parse!G47)),Parse!G47)</f>
        <v>vk.com/sevastyanp</v>
      </c>
      <c r="H42" s="0" t="str">
        <f aca="false">Parse!H47</f>
        <v>sevapanov@yandex.ru</v>
      </c>
      <c r="I42" s="0" t="str">
        <f aca="false">VLOOKUP(Parse!I47,$M$1:$N$11,2,FALSE())</f>
        <v>Программирование(Свет)</v>
      </c>
      <c r="J42" s="0" t="str">
        <f aca="false">VLOOKUP(Parse!J47,$M$1:$N$11,2,FALSE())</f>
        <v>Биоинформатика</v>
      </c>
      <c r="K42" s="4" t="n">
        <v>2</v>
      </c>
      <c r="Q42" s="4" t="s">
        <v>21</v>
      </c>
      <c r="R42" s="4" t="s">
        <v>21</v>
      </c>
      <c r="S42" s="4" t="s">
        <v>21</v>
      </c>
      <c r="T42" s="4" t="s">
        <v>21</v>
      </c>
      <c r="U42" s="4" t="s">
        <v>23</v>
      </c>
      <c r="V42" s="4" t="s">
        <v>23</v>
      </c>
      <c r="W42" s="4" t="s">
        <v>21</v>
      </c>
      <c r="X42" s="4" t="s">
        <v>21</v>
      </c>
      <c r="Y42" s="4" t="s">
        <v>21</v>
      </c>
      <c r="Z42" s="4" t="s">
        <v>21</v>
      </c>
      <c r="AA42" s="4" t="s">
        <v>21</v>
      </c>
      <c r="AB42" s="4" t="s">
        <v>21</v>
      </c>
      <c r="AC42" s="4" t="s">
        <v>21</v>
      </c>
      <c r="AD42" s="4" t="s">
        <v>21</v>
      </c>
      <c r="AE42" s="4" t="s">
        <v>23</v>
      </c>
      <c r="AF42" s="4" t="s">
        <v>23</v>
      </c>
      <c r="AG42" s="4" t="s">
        <v>21</v>
      </c>
      <c r="AH42" s="4" t="s">
        <v>21</v>
      </c>
      <c r="AI42" s="4" t="s">
        <v>23</v>
      </c>
      <c r="AJ42" s="4" t="s">
        <v>23</v>
      </c>
      <c r="AK42" s="4" t="n">
        <f aca="false">COUNTIF(Q42:Z42,"+")</f>
        <v>8</v>
      </c>
      <c r="AL42" s="4" t="n">
        <f aca="false">COUNTIF(AA42:AJ42,"+")</f>
        <v>6</v>
      </c>
    </row>
    <row r="43" customFormat="false" ht="15.75" hidden="false" customHeight="false" outlineLevel="0" collapsed="false">
      <c r="A43" s="6" t="n">
        <f aca="false">Parse!A48</f>
        <v>42864.85256</v>
      </c>
      <c r="B43" s="17" t="str">
        <f aca="false">Parse!B48</f>
        <v>Никифоров</v>
      </c>
      <c r="C43" s="0" t="str">
        <f aca="false">Parse!C48</f>
        <v>Лука</v>
      </c>
      <c r="D43" s="0" t="n">
        <f aca="false">Parse!D48</f>
        <v>8</v>
      </c>
      <c r="E43" s="7" t="str">
        <f aca="false">Parse!E48</f>
        <v>115</v>
      </c>
      <c r="F43" s="0" t="n">
        <f aca="false">Parse!F48</f>
        <v>0</v>
      </c>
      <c r="G43" s="8" t="str">
        <f aca="false">IFERROR(MID(Parse!G48,SEARCH("vk.com",Parse!G48),LEN(Parse!G48)),Parse!G48)</f>
        <v>vk.com/luckea</v>
      </c>
      <c r="H43" s="0" t="str">
        <f aca="false">Parse!H48</f>
        <v>lukanik29@gmail.com</v>
      </c>
      <c r="I43" s="0" t="str">
        <f aca="false">VLOOKUP(Parse!I48,$M$1:$N$11,2,FALSE())</f>
        <v>Программирование(Свет)</v>
      </c>
      <c r="J43" s="0" t="str">
        <f aca="false">VLOOKUP(Parse!J48,$M$1:$N$11,2,FALSE())</f>
        <v>Математика(Строженко)</v>
      </c>
      <c r="K43" s="4" t="n">
        <v>2</v>
      </c>
      <c r="Q43" s="4" t="s">
        <v>21</v>
      </c>
      <c r="R43" s="4" t="s">
        <v>21</v>
      </c>
      <c r="S43" s="4" t="s">
        <v>21</v>
      </c>
      <c r="T43" s="4" t="s">
        <v>21</v>
      </c>
      <c r="U43" s="4" t="s">
        <v>21</v>
      </c>
      <c r="V43" s="4" t="s">
        <v>21</v>
      </c>
      <c r="W43" s="4" t="s">
        <v>21</v>
      </c>
      <c r="X43" s="4" t="s">
        <v>21</v>
      </c>
      <c r="Y43" s="4" t="s">
        <v>21</v>
      </c>
      <c r="Z43" s="4" t="s">
        <v>21</v>
      </c>
      <c r="AA43" s="4" t="s">
        <v>21</v>
      </c>
      <c r="AB43" s="4" t="s">
        <v>21</v>
      </c>
      <c r="AC43" s="4" t="s">
        <v>21</v>
      </c>
      <c r="AD43" s="4" t="s">
        <v>21</v>
      </c>
      <c r="AE43" s="4" t="s">
        <v>21</v>
      </c>
      <c r="AF43" s="4" t="s">
        <v>21</v>
      </c>
      <c r="AG43" s="4" t="s">
        <v>21</v>
      </c>
      <c r="AH43" s="4" t="s">
        <v>21</v>
      </c>
      <c r="AI43" s="4" t="s">
        <v>21</v>
      </c>
      <c r="AJ43" s="4" t="s">
        <v>21</v>
      </c>
      <c r="AK43" s="4" t="n">
        <f aca="false">COUNTIF(Q43:Z43,"+")</f>
        <v>10</v>
      </c>
      <c r="AL43" s="4" t="n">
        <f aca="false">COUNTIF(AA43:AJ43,"+")</f>
        <v>10</v>
      </c>
    </row>
    <row r="44" customFormat="false" ht="15.75" hidden="false" customHeight="false" outlineLevel="0" collapsed="false">
      <c r="A44" s="6" t="n">
        <f aca="false">Parse!A49</f>
        <v>42865.23291</v>
      </c>
      <c r="B44" s="20" t="str">
        <f aca="false">Parse!B49</f>
        <v>Вяземский</v>
      </c>
      <c r="C44" s="0" t="str">
        <f aca="false">Parse!C49</f>
        <v>Ян</v>
      </c>
      <c r="D44" s="0" t="n">
        <f aca="false">Parse!D49</f>
        <v>10</v>
      </c>
      <c r="E44" s="7" t="str">
        <f aca="false">Parse!E49</f>
        <v>Лицей 64</v>
      </c>
      <c r="F44" s="0" t="n">
        <f aca="false">Parse!F49</f>
        <v>0</v>
      </c>
      <c r="G44" s="8" t="str">
        <f aca="false">IFERROR(MID(Parse!G49,SEARCH("vk.com",Parse!G49),LEN(Parse!G49)),Parse!G49)</f>
        <v>vk.com/yan_vyazem</v>
      </c>
      <c r="H44" s="0" t="str">
        <f aca="false">Parse!H49</f>
        <v>yan.vyazemskiy@mail.ru</v>
      </c>
      <c r="I44" s="0" t="str">
        <f aca="false">VLOOKUP(Parse!I49,$M$1:$N$11,2,FALSE())</f>
        <v>Право</v>
      </c>
      <c r="J44" s="0" t="str">
        <f aca="false">VLOOKUP(Parse!J49,$M$1:$N$11,2,FALSE())</f>
        <v>Экономика</v>
      </c>
      <c r="K44" s="4" t="n">
        <v>2</v>
      </c>
      <c r="Q44" s="4" t="s">
        <v>21</v>
      </c>
      <c r="R44" s="4" t="s">
        <v>21</v>
      </c>
      <c r="S44" s="4" t="s">
        <v>21</v>
      </c>
      <c r="T44" s="4" t="s">
        <v>21</v>
      </c>
      <c r="U44" s="4" t="s">
        <v>21</v>
      </c>
      <c r="V44" s="4" t="s">
        <v>21</v>
      </c>
      <c r="W44" s="4" t="s">
        <v>21</v>
      </c>
      <c r="X44" s="4" t="s">
        <v>21</v>
      </c>
      <c r="Y44" s="4" t="s">
        <v>21</v>
      </c>
      <c r="Z44" s="4" t="s">
        <v>21</v>
      </c>
      <c r="AA44" s="4" t="s">
        <v>21</v>
      </c>
      <c r="AB44" s="4" t="s">
        <v>21</v>
      </c>
      <c r="AC44" s="4" t="s">
        <v>21</v>
      </c>
      <c r="AD44" s="4" t="s">
        <v>21</v>
      </c>
      <c r="AE44" s="4" t="s">
        <v>21</v>
      </c>
      <c r="AF44" s="4" t="s">
        <v>21</v>
      </c>
      <c r="AG44" s="4" t="s">
        <v>21</v>
      </c>
      <c r="AH44" s="4" t="s">
        <v>21</v>
      </c>
      <c r="AI44" s="4" t="s">
        <v>21</v>
      </c>
      <c r="AJ44" s="4" t="s">
        <v>23</v>
      </c>
      <c r="AK44" s="4" t="n">
        <f aca="false">COUNTIF(Q44:Z44,"+")</f>
        <v>10</v>
      </c>
      <c r="AL44" s="4" t="n">
        <f aca="false">COUNTIF(AA44:AJ44,"+")</f>
        <v>9</v>
      </c>
    </row>
    <row r="45" customFormat="false" ht="15.75" hidden="false" customHeight="false" outlineLevel="0" collapsed="false">
      <c r="A45" s="6" t="n">
        <f aca="false">Parse!A50</f>
        <v>42865.49041</v>
      </c>
      <c r="B45" s="17" t="str">
        <f aca="false">Parse!B50</f>
        <v>Попова</v>
      </c>
      <c r="C45" s="0" t="str">
        <f aca="false">Parse!C50</f>
        <v>Дарья</v>
      </c>
      <c r="D45" s="0" t="n">
        <f aca="false">Parse!D50</f>
        <v>7</v>
      </c>
      <c r="E45" s="7" t="str">
        <f aca="false">Parse!E50</f>
        <v>Гимназия 43</v>
      </c>
      <c r="F45" s="0" t="n">
        <f aca="false">Parse!F50</f>
        <v>0</v>
      </c>
      <c r="G45" s="4" t="s">
        <v>33</v>
      </c>
      <c r="H45" s="0" t="str">
        <f aca="false">Parse!H50</f>
        <v>svetlana.popova2012@mail.ru</v>
      </c>
      <c r="I45" s="0" t="str">
        <f aca="false">VLOOKUP(Parse!I50,$M$1:$N$11,2,FALSE())</f>
        <v>Право</v>
      </c>
      <c r="J45" s="0" t="str">
        <f aca="false">VLOOKUP(Parse!J50,$M$1:$N$11,2,FALSE())</f>
        <v>Математика(Кудык)</v>
      </c>
      <c r="K45" s="4" t="n">
        <v>2</v>
      </c>
      <c r="Q45" s="4" t="s">
        <v>21</v>
      </c>
      <c r="R45" s="4" t="s">
        <v>21</v>
      </c>
      <c r="S45" s="4" t="s">
        <v>21</v>
      </c>
      <c r="T45" s="4" t="s">
        <v>21</v>
      </c>
      <c r="U45" s="4" t="s">
        <v>21</v>
      </c>
      <c r="V45" s="4" t="s">
        <v>21</v>
      </c>
      <c r="W45" s="4" t="s">
        <v>21</v>
      </c>
      <c r="X45" s="4" t="s">
        <v>21</v>
      </c>
      <c r="Y45" s="4" t="s">
        <v>21</v>
      </c>
      <c r="Z45" s="4" t="s">
        <v>21</v>
      </c>
      <c r="AA45" s="4" t="s">
        <v>21</v>
      </c>
      <c r="AB45" s="4" t="s">
        <v>21</v>
      </c>
      <c r="AC45" s="4" t="s">
        <v>21</v>
      </c>
      <c r="AD45" s="4" t="s">
        <v>21</v>
      </c>
      <c r="AE45" s="4" t="s">
        <v>21</v>
      </c>
      <c r="AF45" s="4" t="s">
        <v>21</v>
      </c>
      <c r="AG45" s="4" t="s">
        <v>23</v>
      </c>
      <c r="AH45" s="4" t="s">
        <v>21</v>
      </c>
      <c r="AI45" s="4" t="s">
        <v>21</v>
      </c>
      <c r="AJ45" s="4" t="s">
        <v>21</v>
      </c>
      <c r="AK45" s="4" t="n">
        <f aca="false">COUNTIF(Q45:Z45,"+")</f>
        <v>10</v>
      </c>
      <c r="AL45" s="4" t="n">
        <f aca="false">COUNTIF(AA45:AJ45,"+")</f>
        <v>9</v>
      </c>
    </row>
    <row r="46" customFormat="false" ht="15.75" hidden="false" customHeight="false" outlineLevel="0" collapsed="false">
      <c r="A46" s="6" t="n">
        <f aca="false">Parse!A51</f>
        <v>42866.63231</v>
      </c>
      <c r="B46" s="17" t="str">
        <f aca="false">Parse!B51</f>
        <v>Широкова</v>
      </c>
      <c r="C46" s="0" t="str">
        <f aca="false">Parse!C51</f>
        <v>Ирина</v>
      </c>
      <c r="D46" s="0" t="n">
        <f aca="false">Parse!D51</f>
        <v>9</v>
      </c>
      <c r="E46" s="7" t="str">
        <f aca="false">Parse!E51</f>
        <v>Лицей 64</v>
      </c>
      <c r="F46" s="0" t="n">
        <f aca="false">Parse!F51</f>
        <v>0</v>
      </c>
      <c r="G46" s="8" t="str">
        <f aca="false">IFERROR(MID(Parse!G51,SEARCH("vk.com",Parse!G51),LEN(Parse!G51)),Parse!G51)</f>
        <v>vk.com/id189704537</v>
      </c>
      <c r="H46" s="0" t="str">
        <f aca="false">Parse!H51</f>
        <v>ira.shirokova.01@bk.ru</v>
      </c>
      <c r="I46" s="0" t="str">
        <f aca="false">VLOOKUP(Parse!I51,$M$1:$N$11,2,FALSE())</f>
        <v>Физика(Шумаков)</v>
      </c>
      <c r="J46" s="0" t="str">
        <f aca="false">VLOOKUP(Parse!J51,$M$1:$N$11,2,FALSE())</f>
        <v>Математика(Строженко)</v>
      </c>
      <c r="K46" s="4" t="n">
        <v>2</v>
      </c>
      <c r="Q46" s="4" t="s">
        <v>21</v>
      </c>
      <c r="R46" s="4" t="s">
        <v>21</v>
      </c>
      <c r="S46" s="4" t="s">
        <v>21</v>
      </c>
      <c r="T46" s="4" t="s">
        <v>21</v>
      </c>
      <c r="U46" s="4" t="s">
        <v>21</v>
      </c>
      <c r="V46" s="4" t="s">
        <v>21</v>
      </c>
      <c r="W46" s="4" t="s">
        <v>21</v>
      </c>
      <c r="X46" s="4" t="s">
        <v>21</v>
      </c>
      <c r="Y46" s="4" t="s">
        <v>21</v>
      </c>
      <c r="Z46" s="4" t="s">
        <v>21</v>
      </c>
      <c r="AA46" s="4" t="s">
        <v>21</v>
      </c>
      <c r="AB46" s="4" t="s">
        <v>21</v>
      </c>
      <c r="AC46" s="4" t="s">
        <v>21</v>
      </c>
      <c r="AD46" s="4" t="s">
        <v>21</v>
      </c>
      <c r="AE46" s="4" t="s">
        <v>21</v>
      </c>
      <c r="AF46" s="4" t="s">
        <v>21</v>
      </c>
      <c r="AG46" s="4" t="s">
        <v>21</v>
      </c>
      <c r="AH46" s="4" t="s">
        <v>21</v>
      </c>
      <c r="AI46" s="4" t="s">
        <v>21</v>
      </c>
      <c r="AJ46" s="4" t="s">
        <v>21</v>
      </c>
      <c r="AK46" s="4" t="n">
        <f aca="false">COUNTIF(Q46:Z46,"+")</f>
        <v>10</v>
      </c>
      <c r="AL46" s="4" t="n">
        <f aca="false">COUNTIF(AA46:AJ46,"+")</f>
        <v>10</v>
      </c>
    </row>
    <row r="47" customFormat="false" ht="15.75" hidden="false" customHeight="false" outlineLevel="0" collapsed="false">
      <c r="A47" s="6" t="n">
        <f aca="false">Parse!A52</f>
        <v>42866.70215</v>
      </c>
      <c r="B47" s="17" t="str">
        <f aca="false">Parse!B52</f>
        <v>Крючкова</v>
      </c>
      <c r="C47" s="0" t="str">
        <f aca="false">Parse!C52</f>
        <v>Дарья</v>
      </c>
      <c r="D47" s="0" t="n">
        <f aca="false">Parse!D52</f>
        <v>11</v>
      </c>
      <c r="E47" s="7" t="str">
        <f aca="false">Parse!E52</f>
        <v>Лицей 66</v>
      </c>
      <c r="F47" s="0" t="n">
        <f aca="false">Parse!F52</f>
        <v>0</v>
      </c>
      <c r="G47" s="8" t="str">
        <f aca="false">IFERROR(MID(Parse!G52,SEARCH("vk.com",Parse!G52),LEN(Parse!G52)),Parse!G52)</f>
        <v>vk.com/unfraid</v>
      </c>
      <c r="H47" s="0" t="str">
        <f aca="false">Parse!H52</f>
        <v>qdemi@mail.ru</v>
      </c>
      <c r="I47" s="0" t="str">
        <f aca="false">VLOOKUP(Parse!I52,$M$1:$N$11,2,FALSE())</f>
        <v>Испанский</v>
      </c>
      <c r="J47" s="0" t="str">
        <f aca="false">VLOOKUP(Parse!J52,$M$1:$N$11,2,FALSE())</f>
        <v>Программирование(Шульга)</v>
      </c>
      <c r="K47" s="4" t="n">
        <v>2</v>
      </c>
      <c r="Q47" s="4" t="s">
        <v>21</v>
      </c>
      <c r="R47" s="4" t="s">
        <v>21</v>
      </c>
      <c r="S47" s="4" t="s">
        <v>21</v>
      </c>
      <c r="T47" s="4" t="s">
        <v>21</v>
      </c>
      <c r="U47" s="4" t="s">
        <v>21</v>
      </c>
      <c r="V47" s="4" t="s">
        <v>21</v>
      </c>
      <c r="W47" s="4" t="s">
        <v>21</v>
      </c>
      <c r="X47" s="4" t="s">
        <v>21</v>
      </c>
      <c r="Y47" s="4" t="s">
        <v>21</v>
      </c>
      <c r="Z47" s="4" t="s">
        <v>21</v>
      </c>
      <c r="AA47" s="4" t="s">
        <v>21</v>
      </c>
      <c r="AB47" s="4" t="s">
        <v>21</v>
      </c>
      <c r="AC47" s="4" t="s">
        <v>21</v>
      </c>
      <c r="AD47" s="4" t="s">
        <v>21</v>
      </c>
      <c r="AE47" s="4" t="s">
        <v>21</v>
      </c>
      <c r="AF47" s="4" t="s">
        <v>21</v>
      </c>
      <c r="AG47" s="4" t="s">
        <v>21</v>
      </c>
      <c r="AH47" s="4" t="s">
        <v>21</v>
      </c>
      <c r="AI47" s="4" t="s">
        <v>21</v>
      </c>
      <c r="AJ47" s="4" t="s">
        <v>21</v>
      </c>
      <c r="AK47" s="4" t="n">
        <f aca="false">COUNTIF(Q47:Z47,"+")</f>
        <v>10</v>
      </c>
      <c r="AL47" s="4" t="n">
        <f aca="false">COUNTIF(AA47:AJ47,"+")</f>
        <v>10</v>
      </c>
    </row>
    <row r="48" customFormat="false" ht="15.75" hidden="false" customHeight="false" outlineLevel="0" collapsed="false">
      <c r="A48" s="6" t="n">
        <f aca="false">Parse!A53</f>
        <v>42866.75493</v>
      </c>
      <c r="B48" s="17" t="str">
        <f aca="false">Parse!B53</f>
        <v>Лапшин</v>
      </c>
      <c r="C48" s="0" t="str">
        <f aca="false">Parse!C53</f>
        <v>Георгий</v>
      </c>
      <c r="D48" s="0" t="n">
        <f aca="false">Parse!D53</f>
        <v>9</v>
      </c>
      <c r="E48" s="7" t="str">
        <f aca="false">Parse!E53</f>
        <v>64 лицей</v>
      </c>
      <c r="F48" s="0" t="n">
        <f aca="false">Parse!F53</f>
        <v>0</v>
      </c>
      <c r="G48" s="8" t="str">
        <f aca="false">IFERROR(MID(Parse!G53,SEARCH("vk.com",Parse!G53),LEN(Parse!G53)),Parse!G53)</f>
        <v>vk.com/georgela</v>
      </c>
      <c r="H48" s="0" t="str">
        <f aca="false">Parse!H53</f>
        <v>georgelap@mail.ru</v>
      </c>
      <c r="I48" s="0" t="str">
        <f aca="false">VLOOKUP(Parse!I53,$M$1:$N$11,2,FALSE())</f>
        <v>Программирование(Шульга)</v>
      </c>
      <c r="J48" s="0" t="str">
        <f aca="false">VLOOKUP(Parse!J53,$M$1:$N$11,2,FALSE())</f>
        <v>Математика(Строженко)</v>
      </c>
      <c r="K48" s="4" t="n">
        <v>2</v>
      </c>
      <c r="Q48" s="4" t="s">
        <v>21</v>
      </c>
      <c r="R48" s="4" t="s">
        <v>21</v>
      </c>
      <c r="S48" s="4" t="s">
        <v>21</v>
      </c>
      <c r="T48" s="4" t="s">
        <v>21</v>
      </c>
      <c r="U48" s="4" t="s">
        <v>21</v>
      </c>
      <c r="V48" s="4" t="s">
        <v>21</v>
      </c>
      <c r="W48" s="4" t="s">
        <v>21</v>
      </c>
      <c r="X48" s="4" t="s">
        <v>21</v>
      </c>
      <c r="Y48" s="4" t="s">
        <v>21</v>
      </c>
      <c r="Z48" s="4" t="s">
        <v>21</v>
      </c>
      <c r="AA48" s="4" t="s">
        <v>21</v>
      </c>
      <c r="AB48" s="4" t="s">
        <v>21</v>
      </c>
      <c r="AC48" s="4" t="s">
        <v>21</v>
      </c>
      <c r="AD48" s="4" t="s">
        <v>21</v>
      </c>
      <c r="AE48" s="4" t="s">
        <v>23</v>
      </c>
      <c r="AF48" s="4" t="s">
        <v>23</v>
      </c>
      <c r="AG48" s="4" t="s">
        <v>21</v>
      </c>
      <c r="AH48" s="4" t="s">
        <v>21</v>
      </c>
      <c r="AI48" s="4" t="s">
        <v>23</v>
      </c>
      <c r="AJ48" s="4" t="s">
        <v>23</v>
      </c>
      <c r="AK48" s="4" t="n">
        <f aca="false">COUNTIF(Q48:Z48,"+")</f>
        <v>10</v>
      </c>
      <c r="AL48" s="4" t="n">
        <f aca="false">COUNTIF(AA48:AJ48,"+")</f>
        <v>6</v>
      </c>
    </row>
    <row r="49" customFormat="false" ht="15.75" hidden="false" customHeight="false" outlineLevel="0" collapsed="false">
      <c r="A49" s="6" t="n">
        <f aca="false">Parse!A54</f>
        <v>42866.79965</v>
      </c>
      <c r="B49" s="18" t="str">
        <f aca="false">Parse!B54</f>
        <v>Коломеец</v>
      </c>
      <c r="C49" s="0" t="str">
        <f aca="false">Parse!C54</f>
        <v>Анна</v>
      </c>
      <c r="D49" s="0" t="n">
        <f aca="false">Parse!D54</f>
        <v>10</v>
      </c>
      <c r="E49" s="7" t="str">
        <f aca="false">Parse!E54</f>
        <v>БОУ СОШУИОП 73</v>
      </c>
      <c r="F49" s="0" t="n">
        <f aca="false">Parse!F54</f>
        <v>0</v>
      </c>
      <c r="G49" s="8" t="str">
        <f aca="false">IFERROR(MID(Parse!G54,SEARCH("vk.com",Parse!G54),LEN(Parse!G54)),Parse!G54)</f>
        <v>vk.com/id157847345</v>
      </c>
      <c r="H49" s="0" t="str">
        <f aca="false">Parse!H54</f>
        <v>ania.siekriet@mail.ru</v>
      </c>
      <c r="I49" s="0" t="str">
        <f aca="false">VLOOKUP(Parse!I54,$M$1:$N$11,2,FALSE())</f>
        <v>Программирование(Шульга)</v>
      </c>
      <c r="J49" s="0" t="str">
        <f aca="false">VLOOKUP(Parse!J54,$M$1:$N$11,2,FALSE())</f>
        <v>Математика(Кудык)</v>
      </c>
      <c r="K49" s="4" t="n">
        <v>2</v>
      </c>
      <c r="Q49" s="4" t="s">
        <v>23</v>
      </c>
      <c r="R49" s="4" t="s">
        <v>23</v>
      </c>
      <c r="S49" s="4" t="s">
        <v>23</v>
      </c>
      <c r="T49" s="4" t="s">
        <v>23</v>
      </c>
      <c r="U49" s="4" t="s">
        <v>23</v>
      </c>
      <c r="V49" s="4" t="s">
        <v>23</v>
      </c>
      <c r="W49" s="4" t="s">
        <v>23</v>
      </c>
      <c r="X49" s="4" t="s">
        <v>23</v>
      </c>
      <c r="Y49" s="4" t="s">
        <v>23</v>
      </c>
      <c r="Z49" s="4" t="s">
        <v>23</v>
      </c>
      <c r="AA49" s="4" t="s">
        <v>23</v>
      </c>
      <c r="AB49" s="4" t="s">
        <v>23</v>
      </c>
      <c r="AC49" s="4" t="s">
        <v>23</v>
      </c>
      <c r="AD49" s="4" t="s">
        <v>23</v>
      </c>
      <c r="AE49" s="4" t="s">
        <v>23</v>
      </c>
      <c r="AF49" s="4" t="s">
        <v>23</v>
      </c>
      <c r="AG49" s="4" t="s">
        <v>23</v>
      </c>
      <c r="AH49" s="4" t="s">
        <v>23</v>
      </c>
      <c r="AK49" s="4" t="n">
        <f aca="false">COUNTIF(Q49:Z49,"+")</f>
        <v>0</v>
      </c>
      <c r="AL49" s="4" t="n">
        <f aca="false">COUNTIF(AA49:AJ49,"+")</f>
        <v>0</v>
      </c>
    </row>
    <row r="50" customFormat="false" ht="15.75" hidden="false" customHeight="false" outlineLevel="0" collapsed="false">
      <c r="A50" s="6" t="n">
        <f aca="false">Parse!A55</f>
        <v>42866.86726</v>
      </c>
      <c r="B50" s="19" t="str">
        <f aca="false">Parse!B55</f>
        <v>Рябцев</v>
      </c>
      <c r="C50" s="0" t="str">
        <f aca="false">Parse!C55</f>
        <v>Данил</v>
      </c>
      <c r="D50" s="0" t="n">
        <f aca="false">Parse!D55</f>
        <v>10</v>
      </c>
      <c r="E50" s="7" t="str">
        <f aca="false">Parse!E55</f>
        <v>Гимназия №19</v>
      </c>
      <c r="F50" s="0" t="str">
        <f aca="false">Parse!F55</f>
        <v>Хочу участвовать с самого начала весь учебный день.</v>
      </c>
      <c r="G50" s="8" t="str">
        <f aca="false">IFERROR(MID(Parse!G55,SEARCH("vk.com",Parse!G55),LEN(Parse!G55)),Parse!G55)</f>
        <v>vk.com/danil.ryabtsev</v>
      </c>
      <c r="H50" s="0" t="str">
        <f aca="false">Parse!H55</f>
        <v>idanny.ry@gmail.com</v>
      </c>
      <c r="I50" s="0" t="str">
        <f aca="false">VLOOKUP(Parse!I55,$M$1:$N$11,2,FALSE())</f>
        <v>Право</v>
      </c>
      <c r="J50" s="0" t="str">
        <f aca="false">VLOOKUP(Parse!J55,$M$1:$N$11,2,FALSE())</f>
        <v>Экономика</v>
      </c>
      <c r="K50" s="4" t="n">
        <v>2</v>
      </c>
      <c r="Q50" s="4" t="s">
        <v>21</v>
      </c>
      <c r="R50" s="4" t="s">
        <v>21</v>
      </c>
      <c r="S50" s="4" t="s">
        <v>21</v>
      </c>
      <c r="T50" s="4" t="s">
        <v>21</v>
      </c>
      <c r="U50" s="4" t="s">
        <v>21</v>
      </c>
      <c r="V50" s="4" t="s">
        <v>21</v>
      </c>
      <c r="W50" s="4" t="s">
        <v>21</v>
      </c>
      <c r="X50" s="4" t="s">
        <v>21</v>
      </c>
      <c r="Y50" s="4" t="s">
        <v>21</v>
      </c>
      <c r="Z50" s="4" t="s">
        <v>21</v>
      </c>
      <c r="AA50" s="4" t="s">
        <v>21</v>
      </c>
      <c r="AB50" s="4" t="s">
        <v>21</v>
      </c>
      <c r="AC50" s="4" t="s">
        <v>21</v>
      </c>
      <c r="AD50" s="4" t="s">
        <v>21</v>
      </c>
      <c r="AE50" s="4" t="s">
        <v>21</v>
      </c>
      <c r="AF50" s="4" t="s">
        <v>21</v>
      </c>
      <c r="AG50" s="4" t="s">
        <v>21</v>
      </c>
      <c r="AH50" s="4" t="s">
        <v>21</v>
      </c>
      <c r="AI50" s="4" t="s">
        <v>23</v>
      </c>
      <c r="AJ50" s="4" t="s">
        <v>23</v>
      </c>
      <c r="AK50" s="4" t="n">
        <f aca="false">COUNTIF(Q50:Z50,"+")</f>
        <v>10</v>
      </c>
      <c r="AL50" s="4" t="n">
        <f aca="false">COUNTIF(AA50:AJ50,"+")</f>
        <v>8</v>
      </c>
    </row>
    <row r="51" customFormat="false" ht="15.75" hidden="false" customHeight="false" outlineLevel="0" collapsed="false">
      <c r="A51" s="6" t="n">
        <f aca="false">Parse!A56</f>
        <v>42867.35194</v>
      </c>
      <c r="B51" s="17" t="str">
        <f aca="false">Parse!B56</f>
        <v>Базиль</v>
      </c>
      <c r="C51" s="0" t="str">
        <f aca="false">Parse!C56</f>
        <v>Александра</v>
      </c>
      <c r="D51" s="0" t="n">
        <f aca="false">Parse!D56</f>
        <v>11</v>
      </c>
      <c r="E51" s="7" t="str">
        <f aca="false">Parse!E56</f>
        <v>Лицей 64</v>
      </c>
      <c r="F51" s="0" t="n">
        <f aca="false">Parse!F56</f>
        <v>0</v>
      </c>
      <c r="G51" s="8" t="str">
        <f aca="false">IFERROR(MID(Parse!G56,SEARCH("vk.com",Parse!G56),LEN(Parse!G56)),Parse!G56)</f>
        <v>vk.com/id136665279</v>
      </c>
      <c r="H51" s="0" t="str">
        <f aca="false">Parse!H56</f>
        <v>AlexCooper1309@gmail.com</v>
      </c>
      <c r="I51" s="0" t="str">
        <f aca="false">VLOOKUP(Parse!I56,$M$1:$N$11,2,FALSE())</f>
        <v>Право</v>
      </c>
      <c r="J51" s="0" t="str">
        <f aca="false">VLOOKUP(Parse!J56,$M$1:$N$11,2,FALSE())</f>
        <v>Испанский</v>
      </c>
      <c r="K51" s="4" t="n">
        <v>2</v>
      </c>
      <c r="Q51" s="4" t="s">
        <v>21</v>
      </c>
      <c r="R51" s="4" t="s">
        <v>21</v>
      </c>
      <c r="S51" s="4" t="s">
        <v>21</v>
      </c>
      <c r="T51" s="4" t="s">
        <v>21</v>
      </c>
      <c r="U51" s="4" t="s">
        <v>23</v>
      </c>
      <c r="V51" s="4" t="s">
        <v>23</v>
      </c>
      <c r="W51" s="4" t="s">
        <v>23</v>
      </c>
      <c r="X51" s="4" t="s">
        <v>23</v>
      </c>
      <c r="Y51" s="4" t="s">
        <v>23</v>
      </c>
      <c r="Z51" s="4" t="s">
        <v>23</v>
      </c>
      <c r="AA51" s="4" t="s">
        <v>21</v>
      </c>
      <c r="AB51" s="4" t="s">
        <v>21</v>
      </c>
      <c r="AC51" s="4" t="s">
        <v>21</v>
      </c>
      <c r="AD51" s="4" t="s">
        <v>21</v>
      </c>
      <c r="AE51" s="4" t="s">
        <v>21</v>
      </c>
      <c r="AF51" s="4" t="s">
        <v>21</v>
      </c>
      <c r="AG51" s="4" t="s">
        <v>21</v>
      </c>
      <c r="AH51" s="4" t="s">
        <v>21</v>
      </c>
      <c r="AI51" s="4" t="s">
        <v>21</v>
      </c>
      <c r="AJ51" s="4" t="s">
        <v>21</v>
      </c>
      <c r="AK51" s="4" t="n">
        <f aca="false">COUNTIF(Q51:Z51,"+")</f>
        <v>4</v>
      </c>
      <c r="AL51" s="4" t="n">
        <f aca="false">COUNTIF(AA51:AJ51,"+")</f>
        <v>10</v>
      </c>
    </row>
    <row r="52" customFormat="false" ht="15.75" hidden="false" customHeight="false" outlineLevel="0" collapsed="false">
      <c r="A52" s="6" t="n">
        <f aca="false">Parse!A57</f>
        <v>42868.77089</v>
      </c>
      <c r="B52" s="17" t="str">
        <f aca="false">Parse!B57</f>
        <v>Ушаков</v>
      </c>
      <c r="C52" s="0" t="str">
        <f aca="false">Parse!C57</f>
        <v>Константин</v>
      </c>
      <c r="D52" s="0" t="n">
        <f aca="false">Parse!D57</f>
        <v>10</v>
      </c>
      <c r="E52" s="7" t="str">
        <f aca="false">Parse!E57</f>
        <v>Лицей 64</v>
      </c>
      <c r="F52" s="0" t="str">
        <f aca="false">Parse!F57</f>
        <v>кроме двух дней в неделю(вполне возможно, что все дни буду)</v>
      </c>
      <c r="G52" s="8" t="str">
        <f aca="false">IFERROR(MID(Parse!G57,SEARCH("vk.com",Parse!G57),LEN(Parse!G57)),Parse!G57)</f>
        <v>vk.com/werrewqr</v>
      </c>
      <c r="H52" s="0" t="str">
        <f aca="false">Parse!H57</f>
        <v>ushk2010@yandex.ru</v>
      </c>
      <c r="I52" s="0" t="str">
        <f aca="false">VLOOKUP(Parse!I57,$M$1:$N$11,2,FALSE())</f>
        <v>Физика(Шумаков)</v>
      </c>
      <c r="J52" s="0" t="str">
        <f aca="false">VLOOKUP(Parse!J57,$M$1:$N$11,2,FALSE())</f>
        <v>Математика(Строженко)</v>
      </c>
      <c r="K52" s="4" t="n">
        <v>2</v>
      </c>
      <c r="M52" s="4"/>
      <c r="Q52" s="4" t="s">
        <v>21</v>
      </c>
      <c r="R52" s="4" t="s">
        <v>21</v>
      </c>
      <c r="S52" s="4" t="s">
        <v>21</v>
      </c>
      <c r="T52" s="4" t="s">
        <v>21</v>
      </c>
      <c r="U52" s="4" t="s">
        <v>21</v>
      </c>
      <c r="V52" s="4" t="s">
        <v>21</v>
      </c>
      <c r="W52" s="4" t="s">
        <v>21</v>
      </c>
      <c r="X52" s="4" t="s">
        <v>21</v>
      </c>
      <c r="Y52" s="4" t="s">
        <v>21</v>
      </c>
      <c r="Z52" s="4" t="s">
        <v>21</v>
      </c>
      <c r="AA52" s="4" t="s">
        <v>21</v>
      </c>
      <c r="AB52" s="4" t="s">
        <v>21</v>
      </c>
      <c r="AC52" s="4" t="s">
        <v>21</v>
      </c>
      <c r="AD52" s="4" t="s">
        <v>21</v>
      </c>
      <c r="AE52" s="4" t="s">
        <v>21</v>
      </c>
      <c r="AF52" s="4" t="s">
        <v>21</v>
      </c>
      <c r="AG52" s="4" t="s">
        <v>21</v>
      </c>
      <c r="AH52" s="4" t="s">
        <v>21</v>
      </c>
      <c r="AI52" s="4" t="s">
        <v>21</v>
      </c>
      <c r="AJ52" s="4" t="s">
        <v>21</v>
      </c>
      <c r="AK52" s="4" t="n">
        <f aca="false">COUNTIF(Q52:Z52,"+")</f>
        <v>10</v>
      </c>
      <c r="AL52" s="4" t="n">
        <f aca="false">COUNTIF(AA52:AJ52,"+")</f>
        <v>10</v>
      </c>
    </row>
    <row r="53" customFormat="false" ht="15.75" hidden="false" customHeight="false" outlineLevel="0" collapsed="false">
      <c r="A53" s="6" t="n">
        <f aca="false">Parse!A58</f>
        <v>42869.33811</v>
      </c>
      <c r="B53" s="19" t="str">
        <f aca="false">Parse!B58</f>
        <v>Романенко</v>
      </c>
      <c r="C53" s="0" t="str">
        <f aca="false">Parse!C58</f>
        <v>Анна</v>
      </c>
      <c r="D53" s="0" t="n">
        <f aca="false">Parse!D58</f>
        <v>10</v>
      </c>
      <c r="E53" s="7" t="str">
        <f aca="false">Parse!E58</f>
        <v>Лицей 54</v>
      </c>
      <c r="F53" s="0" t="n">
        <f aca="false">Parse!F58</f>
        <v>0</v>
      </c>
      <c r="G53" s="8" t="str">
        <f aca="false">IFERROR(MID(Parse!G58,SEARCH("vk.com",Parse!G58),LEN(Parse!G58)),Parse!G58)</f>
        <v>vk.com/idannromm</v>
      </c>
      <c r="H53" s="0" t="str">
        <f aca="false">Parse!H58</f>
        <v>annaromanencomail@mail.ru</v>
      </c>
      <c r="I53" s="0" t="str">
        <f aca="false">VLOOKUP(Parse!I58,$M$1:$N$11,2,FALSE())</f>
        <v>Право</v>
      </c>
      <c r="J53" s="0" t="str">
        <f aca="false">VLOOKUP(Parse!J58,$M$1:$N$11,2,FALSE())</f>
        <v>Испанский</v>
      </c>
      <c r="K53" s="4" t="n">
        <v>2</v>
      </c>
      <c r="Q53" s="4" t="s">
        <v>21</v>
      </c>
      <c r="R53" s="4" t="s">
        <v>21</v>
      </c>
      <c r="S53" s="4" t="s">
        <v>21</v>
      </c>
      <c r="T53" s="4" t="s">
        <v>21</v>
      </c>
      <c r="U53" s="4" t="s">
        <v>21</v>
      </c>
      <c r="V53" s="4" t="s">
        <v>21</v>
      </c>
      <c r="W53" s="4" t="s">
        <v>21</v>
      </c>
      <c r="X53" s="4" t="s">
        <v>21</v>
      </c>
      <c r="Y53" s="4" t="s">
        <v>21</v>
      </c>
      <c r="Z53" s="4" t="s">
        <v>21</v>
      </c>
      <c r="AA53" s="4" t="s">
        <v>21</v>
      </c>
      <c r="AB53" s="4" t="s">
        <v>21</v>
      </c>
      <c r="AC53" s="4" t="s">
        <v>23</v>
      </c>
      <c r="AD53" s="4" t="s">
        <v>23</v>
      </c>
      <c r="AE53" s="4" t="s">
        <v>21</v>
      </c>
      <c r="AF53" s="4" t="s">
        <v>21</v>
      </c>
      <c r="AG53" s="4" t="s">
        <v>21</v>
      </c>
      <c r="AH53" s="4" t="s">
        <v>21</v>
      </c>
      <c r="AI53" s="4" t="s">
        <v>23</v>
      </c>
      <c r="AJ53" s="4" t="s">
        <v>23</v>
      </c>
      <c r="AK53" s="4" t="n">
        <f aca="false">COUNTIF(Q53:Z53,"+")</f>
        <v>10</v>
      </c>
      <c r="AL53" s="4" t="n">
        <f aca="false">COUNTIF(AA53:AJ53,"+")</f>
        <v>6</v>
      </c>
    </row>
    <row r="54" customFormat="false" ht="15.75" hidden="false" customHeight="false" outlineLevel="0" collapsed="false">
      <c r="A54" s="6" t="n">
        <f aca="false">Parse!A60</f>
        <v>42870.77479</v>
      </c>
      <c r="B54" s="17" t="str">
        <f aca="false">Parse!B60</f>
        <v>Терещенко</v>
      </c>
      <c r="C54" s="0" t="str">
        <f aca="false">Parse!C60</f>
        <v>Алексей</v>
      </c>
      <c r="D54" s="0" t="n">
        <f aca="false">Parse!D60</f>
        <v>9</v>
      </c>
      <c r="E54" s="7" t="str">
        <f aca="false">Parse!E60</f>
        <v>БОУ ОО "МОЦРО №117"</v>
      </c>
      <c r="F54" s="0" t="n">
        <f aca="false">Parse!F60</f>
        <v>0</v>
      </c>
      <c r="G54" s="22" t="s">
        <v>34</v>
      </c>
      <c r="H54" s="0" t="str">
        <f aca="false">Parse!H60</f>
        <v>leha.tarin@mail.ru</v>
      </c>
      <c r="I54" s="0" t="str">
        <f aca="false">VLOOKUP(Parse!I60,$M$1:$N$11,2,FALSE())</f>
        <v>Физика(Рутберг)</v>
      </c>
      <c r="J54" s="0" t="str">
        <f aca="false">VLOOKUP(Parse!J60,$M$1:$N$11,2,FALSE())</f>
        <v>Испанский</v>
      </c>
      <c r="K54" s="4" t="n">
        <v>2</v>
      </c>
      <c r="Q54" s="4" t="s">
        <v>23</v>
      </c>
      <c r="R54" s="4" t="s">
        <v>23</v>
      </c>
      <c r="S54" s="4" t="s">
        <v>21</v>
      </c>
      <c r="T54" s="4" t="s">
        <v>21</v>
      </c>
      <c r="U54" s="4" t="s">
        <v>23</v>
      </c>
      <c r="V54" s="4" t="s">
        <v>23</v>
      </c>
      <c r="W54" s="4" t="s">
        <v>23</v>
      </c>
      <c r="X54" s="4" t="s">
        <v>23</v>
      </c>
      <c r="Y54" s="4" t="s">
        <v>23</v>
      </c>
      <c r="Z54" s="4" t="s">
        <v>23</v>
      </c>
      <c r="AC54" s="4" t="s">
        <v>21</v>
      </c>
      <c r="AD54" s="4" t="s">
        <v>21</v>
      </c>
      <c r="AE54" s="4" t="s">
        <v>21</v>
      </c>
      <c r="AF54" s="4" t="s">
        <v>21</v>
      </c>
      <c r="AG54" s="4" t="s">
        <v>21</v>
      </c>
      <c r="AH54" s="4" t="s">
        <v>21</v>
      </c>
      <c r="AI54" s="4" t="s">
        <v>21</v>
      </c>
      <c r="AJ54" s="4" t="s">
        <v>21</v>
      </c>
      <c r="AK54" s="4" t="n">
        <f aca="false">COUNTIF(Q54:Z54,"+")</f>
        <v>2</v>
      </c>
      <c r="AL54" s="4" t="n">
        <f aca="false">COUNTIF(AA54:AJ54,"+")</f>
        <v>8</v>
      </c>
    </row>
    <row r="55" customFormat="false" ht="15.75" hidden="false" customHeight="false" outlineLevel="0" collapsed="false">
      <c r="A55" s="6" t="n">
        <f aca="false">Parse!A61</f>
        <v>42871.215</v>
      </c>
      <c r="B55" s="19" t="str">
        <f aca="false">Parse!B61</f>
        <v>Белозерова</v>
      </c>
      <c r="C55" s="0" t="str">
        <f aca="false">Parse!C61</f>
        <v>Ольга</v>
      </c>
      <c r="D55" s="0" t="n">
        <f aca="false">Parse!D61</f>
        <v>9</v>
      </c>
      <c r="E55" s="7" t="str">
        <f aca="false">Parse!E61</f>
        <v>117</v>
      </c>
      <c r="F55" s="0" t="n">
        <f aca="false">Parse!F61</f>
        <v>0</v>
      </c>
      <c r="G55" s="8" t="str">
        <f aca="false">IFERROR(MID(Parse!G61,SEARCH("vk.com",Parse!G61),LEN(Parse!G61)),Parse!G61)</f>
        <v>vk.com/obeloz</v>
      </c>
      <c r="H55" s="0" t="str">
        <f aca="false">Parse!H61</f>
        <v>Basyanet@gmail.com</v>
      </c>
      <c r="I55" s="0" t="str">
        <f aca="false">VLOOKUP(Parse!I61,$M$1:$N$11,2,FALSE())</f>
        <v>Программирование(Свет)</v>
      </c>
      <c r="J55" s="0" t="str">
        <f aca="false">VLOOKUP(Parse!J61,$M$1:$N$11,2,FALSE())</f>
        <v>Физика(Шумаков)</v>
      </c>
      <c r="K55" s="4" t="n">
        <v>2</v>
      </c>
      <c r="Q55" s="4" t="s">
        <v>21</v>
      </c>
      <c r="R55" s="4" t="s">
        <v>21</v>
      </c>
      <c r="S55" s="4" t="s">
        <v>21</v>
      </c>
      <c r="T55" s="4" t="s">
        <v>21</v>
      </c>
      <c r="U55" s="4" t="s">
        <v>21</v>
      </c>
      <c r="V55" s="4" t="s">
        <v>21</v>
      </c>
      <c r="W55" s="4" t="s">
        <v>21</v>
      </c>
      <c r="X55" s="4" t="s">
        <v>21</v>
      </c>
      <c r="Y55" s="4" t="s">
        <v>21</v>
      </c>
      <c r="Z55" s="4" t="s">
        <v>21</v>
      </c>
      <c r="AA55" s="4" t="s">
        <v>23</v>
      </c>
      <c r="AB55" s="4" t="s">
        <v>23</v>
      </c>
      <c r="AC55" s="4" t="s">
        <v>23</v>
      </c>
      <c r="AD55" s="4" t="s">
        <v>23</v>
      </c>
      <c r="AE55" s="4" t="s">
        <v>23</v>
      </c>
      <c r="AF55" s="4" t="s">
        <v>23</v>
      </c>
      <c r="AG55" s="4" t="s">
        <v>23</v>
      </c>
      <c r="AH55" s="4" t="s">
        <v>23</v>
      </c>
      <c r="AI55" s="4" t="s">
        <v>23</v>
      </c>
      <c r="AJ55" s="4" t="s">
        <v>23</v>
      </c>
      <c r="AK55" s="4" t="n">
        <f aca="false">COUNTIF(Q55:Z55,"+")</f>
        <v>10</v>
      </c>
      <c r="AL55" s="4" t="n">
        <f aca="false">COUNTIF(AA55:AJ55,"+")</f>
        <v>0</v>
      </c>
    </row>
    <row r="56" customFormat="false" ht="15.75" hidden="false" customHeight="false" outlineLevel="0" collapsed="false">
      <c r="A56" s="6" t="n">
        <f aca="false">Parse!A62</f>
        <v>42871.71132</v>
      </c>
      <c r="B56" s="17" t="str">
        <f aca="false">Parse!B62</f>
        <v>Красных</v>
      </c>
      <c r="C56" s="0" t="str">
        <f aca="false">Parse!C62</f>
        <v>Вадим</v>
      </c>
      <c r="D56" s="0" t="n">
        <f aca="false">Parse!D62</f>
        <v>8</v>
      </c>
      <c r="E56" s="7" t="str">
        <f aca="false">Parse!E62</f>
        <v>МОЦРО 117</v>
      </c>
      <c r="F56" s="0" t="n">
        <f aca="false">Parse!F62</f>
        <v>0</v>
      </c>
      <c r="G56" s="8" t="str">
        <f aca="false">IFERROR(MID(Parse!G62,SEARCH("vk.com",Parse!G62),LEN(Parse!G62)),Parse!G62)</f>
        <v>vk.com/evverything_is_allowed</v>
      </c>
      <c r="H56" s="0" t="str">
        <f aca="false">Parse!H62</f>
        <v>vadikras@list.ru</v>
      </c>
      <c r="I56" s="0" t="str">
        <f aca="false">VLOOKUP(Parse!I62,$M$1:$N$11,2,FALSE())</f>
        <v>Программирование(Свет)</v>
      </c>
      <c r="J56" s="0" t="str">
        <f aca="false">VLOOKUP(Parse!J62,$M$1:$N$11,2,FALSE())</f>
        <v>Биоинформатика</v>
      </c>
      <c r="K56" s="4" t="n">
        <v>2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23</v>
      </c>
      <c r="V56" s="4" t="s">
        <v>23</v>
      </c>
      <c r="W56" s="4" t="s">
        <v>21</v>
      </c>
      <c r="X56" s="4" t="s">
        <v>21</v>
      </c>
      <c r="Y56" s="4" t="s">
        <v>21</v>
      </c>
      <c r="Z56" s="4" t="s">
        <v>21</v>
      </c>
      <c r="AA56" s="4" t="s">
        <v>21</v>
      </c>
      <c r="AB56" s="4" t="s">
        <v>21</v>
      </c>
      <c r="AC56" s="4" t="s">
        <v>21</v>
      </c>
      <c r="AD56" s="4" t="s">
        <v>21</v>
      </c>
      <c r="AE56" s="4" t="s">
        <v>21</v>
      </c>
      <c r="AF56" s="4" t="s">
        <v>21</v>
      </c>
      <c r="AG56" s="4" t="s">
        <v>21</v>
      </c>
      <c r="AH56" s="4" t="s">
        <v>21</v>
      </c>
      <c r="AI56" s="4" t="s">
        <v>23</v>
      </c>
      <c r="AJ56" s="4" t="s">
        <v>23</v>
      </c>
      <c r="AK56" s="4" t="n">
        <f aca="false">COUNTIF(Q56:Z56,"+")</f>
        <v>8</v>
      </c>
      <c r="AL56" s="4" t="n">
        <f aca="false">COUNTIF(AA56:AJ56,"+")</f>
        <v>8</v>
      </c>
    </row>
    <row r="57" customFormat="false" ht="15.75" hidden="false" customHeight="false" outlineLevel="0" collapsed="false">
      <c r="A57" s="6" t="n">
        <f aca="false">Parse!A63</f>
        <v>42871.77839</v>
      </c>
      <c r="B57" s="19" t="str">
        <f aca="false">Parse!B63</f>
        <v>Киселев</v>
      </c>
      <c r="C57" s="0" t="str">
        <f aca="false">Parse!C63</f>
        <v>Кирилл</v>
      </c>
      <c r="D57" s="0" t="n">
        <f aca="false">Parse!D63</f>
        <v>8</v>
      </c>
      <c r="E57" s="7" t="str">
        <f aca="false">Parse!E63</f>
        <v>Лицей №149</v>
      </c>
      <c r="F57" s="0" t="str">
        <f aca="false">Parse!F63</f>
        <v>Может быть только первую половину</v>
      </c>
      <c r="G57" s="8" t="str">
        <f aca="false">IFERROR(MID(Parse!G63,SEARCH("vk.com",Parse!G63),LEN(Parse!G63)),Parse!G63)</f>
        <v>vk.com/fogo_f</v>
      </c>
      <c r="H57" s="0" t="str">
        <f aca="false">Parse!H63</f>
        <v>Kirill_k2002@mail.ru</v>
      </c>
      <c r="I57" s="0" t="str">
        <f aca="false">VLOOKUP(Parse!I63,$M$1:$N$11,2,FALSE())</f>
        <v>Программирование(Шульга)</v>
      </c>
      <c r="J57" s="0" t="n">
        <f aca="false">VLOOKUP(Parse!J63,$M$1:$N$11,2,FALSE())</f>
        <v>0</v>
      </c>
      <c r="K57" s="4" t="n">
        <v>2</v>
      </c>
      <c r="Q57" s="4" t="s">
        <v>21</v>
      </c>
      <c r="R57" s="4" t="s">
        <v>21</v>
      </c>
      <c r="S57" s="4" t="s">
        <v>21</v>
      </c>
      <c r="T57" s="4" t="s">
        <v>21</v>
      </c>
      <c r="U57" s="4" t="s">
        <v>21</v>
      </c>
      <c r="V57" s="4" t="s">
        <v>21</v>
      </c>
      <c r="W57" s="4" t="s">
        <v>21</v>
      </c>
      <c r="X57" s="4" t="s">
        <v>21</v>
      </c>
      <c r="Y57" s="4" t="s">
        <v>21</v>
      </c>
      <c r="Z57" s="4" t="s">
        <v>21</v>
      </c>
      <c r="AK57" s="4" t="n">
        <f aca="false">COUNTIF(Q57:Z57,"+")</f>
        <v>10</v>
      </c>
      <c r="AL57" s="4" t="n">
        <f aca="false">COUNTIF(AA57:AJ57,"+")</f>
        <v>0</v>
      </c>
    </row>
    <row r="58" customFormat="false" ht="15.75" hidden="false" customHeight="false" outlineLevel="0" collapsed="false">
      <c r="A58" s="6" t="n">
        <f aca="false">Parse!A64</f>
        <v>42872.59477</v>
      </c>
      <c r="B58" s="17" t="str">
        <f aca="false">Parse!B64</f>
        <v>Гнедина</v>
      </c>
      <c r="C58" s="0" t="str">
        <f aca="false">Parse!C64</f>
        <v>Ксения</v>
      </c>
      <c r="D58" s="0" t="n">
        <f aca="false">Parse!D64</f>
        <v>7</v>
      </c>
      <c r="E58" s="7" t="str">
        <f aca="false">Parse!E64</f>
        <v>117</v>
      </c>
      <c r="F58" s="0" t="n">
        <f aca="false">Parse!F64</f>
        <v>0</v>
      </c>
      <c r="G58" s="8" t="str">
        <f aca="false">IFERROR(MID(Parse!G64,SEARCH("vk.com",Parse!G64),LEN(Parse!G64)),Parse!G64)</f>
        <v>vk.com/id377773056</v>
      </c>
      <c r="H58" s="0" t="str">
        <f aca="false">Parse!H64</f>
        <v>gnedina_03@mail.ru</v>
      </c>
      <c r="I58" s="0" t="str">
        <f aca="false">VLOOKUP(Parse!I64,$M$1:$N$11,2,FALSE())</f>
        <v>Физика(Рутберг)</v>
      </c>
      <c r="J58" s="0" t="str">
        <f aca="false">VLOOKUP(Parse!J64,$M$1:$N$11,2,FALSE())</f>
        <v>Испанский</v>
      </c>
      <c r="K58" s="4" t="n">
        <v>2</v>
      </c>
      <c r="Q58" s="4" t="s">
        <v>21</v>
      </c>
      <c r="R58" s="4" t="s">
        <v>23</v>
      </c>
      <c r="S58" s="4" t="s">
        <v>23</v>
      </c>
      <c r="T58" s="4" t="s">
        <v>23</v>
      </c>
      <c r="U58" s="4" t="s">
        <v>23</v>
      </c>
      <c r="V58" s="4" t="s">
        <v>23</v>
      </c>
      <c r="W58" s="4" t="s">
        <v>23</v>
      </c>
      <c r="X58" s="4" t="s">
        <v>23</v>
      </c>
      <c r="Y58" s="4" t="s">
        <v>23</v>
      </c>
      <c r="Z58" s="4" t="s">
        <v>23</v>
      </c>
      <c r="AA58" s="4" t="s">
        <v>21</v>
      </c>
      <c r="AB58" s="4" t="s">
        <v>21</v>
      </c>
      <c r="AC58" s="4" t="s">
        <v>21</v>
      </c>
      <c r="AD58" s="4" t="s">
        <v>21</v>
      </c>
      <c r="AE58" s="4" t="s">
        <v>23</v>
      </c>
      <c r="AF58" s="4" t="s">
        <v>21</v>
      </c>
      <c r="AG58" s="4" t="s">
        <v>21</v>
      </c>
      <c r="AH58" s="4" t="s">
        <v>21</v>
      </c>
      <c r="AI58" s="4" t="s">
        <v>21</v>
      </c>
      <c r="AJ58" s="4" t="s">
        <v>21</v>
      </c>
      <c r="AK58" s="4" t="n">
        <f aca="false">COUNTIF(Q58:Z58,"+")</f>
        <v>1</v>
      </c>
      <c r="AL58" s="4" t="n">
        <f aca="false">COUNTIF(AA58:AJ58,"+")</f>
        <v>9</v>
      </c>
    </row>
    <row r="59" customFormat="false" ht="15.75" hidden="false" customHeight="false" outlineLevel="0" collapsed="false">
      <c r="A59" s="6" t="n">
        <f aca="false">Parse!A66</f>
        <v>42872.59503</v>
      </c>
      <c r="B59" s="19" t="str">
        <f aca="false">Parse!B66</f>
        <v>Гнедина</v>
      </c>
      <c r="C59" s="0" t="str">
        <f aca="false">Parse!C66</f>
        <v>Юлия</v>
      </c>
      <c r="D59" s="0" t="n">
        <f aca="false">Parse!D66</f>
        <v>7</v>
      </c>
      <c r="E59" s="7" t="str">
        <f aca="false">Parse!E66</f>
        <v>117</v>
      </c>
      <c r="F59" s="0" t="n">
        <f aca="false">Parse!F66</f>
        <v>0</v>
      </c>
      <c r="G59" s="8" t="str">
        <f aca="false">IFERROR(MID(Parse!G66,SEARCH("vk.com",Parse!G66),LEN(Parse!G66)),Parse!G66)</f>
        <v>vk.com/id316784802</v>
      </c>
      <c r="H59" s="0" t="str">
        <f aca="false">Parse!H66</f>
        <v>Lula_Gnedina@mail.ru</v>
      </c>
      <c r="I59" s="0" t="str">
        <f aca="false">VLOOKUP(Parse!I66,$M$1:$N$11,2,FALSE())</f>
        <v>Математика(Кудык)</v>
      </c>
      <c r="J59" s="0" t="str">
        <f aca="false">VLOOKUP(Parse!J66,$M$1:$N$11,2,FALSE())</f>
        <v>Испанский</v>
      </c>
      <c r="K59" s="4" t="n">
        <v>2</v>
      </c>
      <c r="Q59" s="4" t="s">
        <v>21</v>
      </c>
      <c r="R59" s="4" t="s">
        <v>21</v>
      </c>
      <c r="S59" s="4" t="s">
        <v>21</v>
      </c>
      <c r="T59" s="4" t="s">
        <v>21</v>
      </c>
      <c r="U59" s="4" t="s">
        <v>21</v>
      </c>
      <c r="V59" s="4" t="s">
        <v>21</v>
      </c>
      <c r="W59" s="4" t="s">
        <v>21</v>
      </c>
      <c r="X59" s="4" t="s">
        <v>21</v>
      </c>
      <c r="Y59" s="4" t="s">
        <v>21</v>
      </c>
      <c r="Z59" s="4" t="s">
        <v>21</v>
      </c>
      <c r="AA59" s="4" t="s">
        <v>21</v>
      </c>
      <c r="AB59" s="4" t="s">
        <v>21</v>
      </c>
      <c r="AC59" s="4" t="s">
        <v>21</v>
      </c>
      <c r="AD59" s="4" t="s">
        <v>21</v>
      </c>
      <c r="AE59" s="4" t="s">
        <v>23</v>
      </c>
      <c r="AF59" s="4" t="s">
        <v>21</v>
      </c>
      <c r="AG59" s="4" t="s">
        <v>21</v>
      </c>
      <c r="AH59" s="4" t="s">
        <v>21</v>
      </c>
      <c r="AI59" s="4" t="s">
        <v>23</v>
      </c>
      <c r="AJ59" s="4" t="s">
        <v>23</v>
      </c>
      <c r="AK59" s="4" t="n">
        <f aca="false">COUNTIF(Q59:Z59,"+")</f>
        <v>10</v>
      </c>
      <c r="AL59" s="4" t="n">
        <f aca="false">COUNTIF(AA59:AJ59,"+")</f>
        <v>7</v>
      </c>
    </row>
    <row r="60" customFormat="false" ht="15.75" hidden="false" customHeight="false" outlineLevel="0" collapsed="false">
      <c r="A60" s="6" t="n">
        <f aca="false">Parse!A67</f>
        <v>42872.6754</v>
      </c>
      <c r="B60" s="17" t="str">
        <f aca="false">Parse!B67</f>
        <v>Дизер</v>
      </c>
      <c r="C60" s="0" t="str">
        <f aca="false">Parse!C67</f>
        <v>Маргарита</v>
      </c>
      <c r="D60" s="0" t="n">
        <f aca="false">Parse!D67</f>
        <v>10</v>
      </c>
      <c r="E60" s="7" t="str">
        <f aca="false">Parse!E67</f>
        <v>БОУ ОО "МОЦРО № 117"</v>
      </c>
      <c r="F60" s="0" t="n">
        <f aca="false">Parse!F67</f>
        <v>0</v>
      </c>
      <c r="G60" s="8" t="str">
        <f aca="false">IFERROR(MID(Parse!G67,SEARCH("vk.com",Parse!G67),LEN(Parse!G67)),Parse!G67)</f>
        <v>vk.com/ekweis</v>
      </c>
      <c r="H60" s="0" t="str">
        <f aca="false">Parse!H67</f>
        <v>ieufloria@gmail.com</v>
      </c>
      <c r="I60" s="0" t="str">
        <f aca="false">VLOOKUP(Parse!I67,$M$1:$N$11,2,FALSE())</f>
        <v>Испанский</v>
      </c>
      <c r="J60" s="0" t="str">
        <f aca="false">VLOOKUP(Parse!J67,$M$1:$N$11,2,FALSE())</f>
        <v>Биоинформатика</v>
      </c>
      <c r="K60" s="4" t="n">
        <v>2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23</v>
      </c>
      <c r="Z60" s="4" t="s">
        <v>23</v>
      </c>
      <c r="AA60" s="4" t="s">
        <v>21</v>
      </c>
      <c r="AB60" s="4" t="s">
        <v>21</v>
      </c>
      <c r="AC60" s="4" t="s">
        <v>21</v>
      </c>
      <c r="AD60" s="4" t="s">
        <v>21</v>
      </c>
      <c r="AE60" s="4" t="s">
        <v>21</v>
      </c>
      <c r="AF60" s="4" t="s">
        <v>21</v>
      </c>
      <c r="AG60" s="4" t="s">
        <v>21</v>
      </c>
      <c r="AH60" s="4" t="s">
        <v>21</v>
      </c>
      <c r="AI60" s="4" t="s">
        <v>21</v>
      </c>
      <c r="AJ60" s="4" t="s">
        <v>21</v>
      </c>
      <c r="AK60" s="4" t="n">
        <f aca="false">COUNTIF(Q60:Z60,"+")</f>
        <v>8</v>
      </c>
      <c r="AL60" s="4" t="n">
        <f aca="false">COUNTIF(AA60:AJ60,"+")</f>
        <v>10</v>
      </c>
    </row>
    <row r="61" customFormat="false" ht="15.75" hidden="false" customHeight="false" outlineLevel="0" collapsed="false">
      <c r="A61" s="6" t="n">
        <f aca="false">Parse!A68</f>
        <v>42872.67921</v>
      </c>
      <c r="B61" s="19" t="str">
        <f aca="false">Parse!B68</f>
        <v>Ефимова</v>
      </c>
      <c r="C61" s="0" t="str">
        <f aca="false">Parse!C68</f>
        <v>Екатерина</v>
      </c>
      <c r="D61" s="0" t="n">
        <f aca="false">Parse!D68</f>
        <v>7</v>
      </c>
      <c r="E61" s="7" t="str">
        <f aca="false">Parse!E68</f>
        <v>25</v>
      </c>
      <c r="F61" s="0" t="n">
        <f aca="false">Parse!F68</f>
        <v>0</v>
      </c>
      <c r="G61" s="0" t="str">
        <f aca="false">IFERROR(MID(Parse!G68,SEARCH("vk.com",Parse!G68),LEN(Parse!G68)),Parse!G68)</f>
        <v>Нет</v>
      </c>
      <c r="H61" s="0" t="str">
        <f aca="false">Parse!H68</f>
        <v>kate_efimova@inbox.ru</v>
      </c>
      <c r="I61" s="0" t="str">
        <f aca="false">VLOOKUP(Parse!I68,$M$1:$N$11,2,FALSE())</f>
        <v>Математика(Кудык)</v>
      </c>
      <c r="J61" s="0" t="str">
        <f aca="false">VLOOKUP(Parse!J68,$M$1:$N$11,2,FALSE())</f>
        <v>Программирование(Шульга)</v>
      </c>
      <c r="K61" s="4" t="n">
        <v>1</v>
      </c>
      <c r="Q61" s="4" t="s">
        <v>21</v>
      </c>
      <c r="R61" s="4" t="s">
        <v>21</v>
      </c>
      <c r="S61" s="4" t="s">
        <v>21</v>
      </c>
      <c r="T61" s="4" t="s">
        <v>21</v>
      </c>
      <c r="U61" s="4" t="s">
        <v>21</v>
      </c>
      <c r="V61" s="4" t="s">
        <v>21</v>
      </c>
      <c r="W61" s="4" t="s">
        <v>21</v>
      </c>
      <c r="X61" s="4" t="s">
        <v>21</v>
      </c>
      <c r="Y61" s="4" t="s">
        <v>21</v>
      </c>
      <c r="Z61" s="4" t="s">
        <v>21</v>
      </c>
      <c r="AA61" s="4" t="s">
        <v>21</v>
      </c>
      <c r="AB61" s="4" t="s">
        <v>21</v>
      </c>
      <c r="AC61" s="4" t="s">
        <v>21</v>
      </c>
      <c r="AD61" s="4" t="s">
        <v>21</v>
      </c>
      <c r="AE61" s="4" t="s">
        <v>23</v>
      </c>
      <c r="AF61" s="4" t="s">
        <v>23</v>
      </c>
      <c r="AG61" s="4" t="s">
        <v>21</v>
      </c>
      <c r="AH61" s="4" t="s">
        <v>21</v>
      </c>
      <c r="AI61" s="4" t="s">
        <v>21</v>
      </c>
      <c r="AJ61" s="4" t="s">
        <v>21</v>
      </c>
      <c r="AK61" s="4" t="n">
        <f aca="false">COUNTIF(Q61:Z61,"+")</f>
        <v>10</v>
      </c>
      <c r="AL61" s="4" t="n">
        <f aca="false">COUNTIF(AA61:AJ61,"+")</f>
        <v>8</v>
      </c>
    </row>
    <row r="62" customFormat="false" ht="15.75" hidden="false" customHeight="false" outlineLevel="0" collapsed="false">
      <c r="A62" s="6" t="n">
        <f aca="false">Parse!A69</f>
        <v>42872.68566</v>
      </c>
      <c r="B62" s="19" t="str">
        <f aca="false">Parse!B69</f>
        <v>Аркушенко</v>
      </c>
      <c r="C62" s="0" t="str">
        <f aca="false">Parse!C69</f>
        <v>Максим</v>
      </c>
      <c r="D62" s="0" t="n">
        <f aca="false">Parse!D69</f>
        <v>7</v>
      </c>
      <c r="E62" s="7" t="str">
        <f aca="false">Parse!E69</f>
        <v>МОЦРО 117</v>
      </c>
      <c r="F62" s="0" t="n">
        <f aca="false">Parse!F69</f>
        <v>0</v>
      </c>
      <c r="G62" s="8" t="str">
        <f aca="false">IFERROR(MID(Parse!G69,SEARCH("vk.com",Parse!G69),LEN(Parse!G69)),Parse!G69)</f>
        <v>vk.com/m.arkushenko</v>
      </c>
      <c r="H62" s="0" t="str">
        <f aca="false">Parse!H69</f>
        <v>t001@inbox.ru</v>
      </c>
      <c r="I62" s="0" t="str">
        <f aca="false">VLOOKUP(Parse!I69,$M$1:$N$11,2,FALSE())</f>
        <v>Математика(Кудык)</v>
      </c>
      <c r="J62" s="0" t="str">
        <f aca="false">VLOOKUP(Parse!J69,$M$1:$N$11,2,FALSE())</f>
        <v>Экономика</v>
      </c>
      <c r="K62" s="4" t="n">
        <v>2</v>
      </c>
      <c r="Q62" s="4" t="s">
        <v>21</v>
      </c>
      <c r="R62" s="4" t="s">
        <v>21</v>
      </c>
      <c r="S62" s="4" t="s">
        <v>21</v>
      </c>
      <c r="T62" s="4" t="s">
        <v>21</v>
      </c>
      <c r="U62" s="4" t="s">
        <v>21</v>
      </c>
      <c r="V62" s="4" t="s">
        <v>21</v>
      </c>
      <c r="W62" s="4" t="s">
        <v>21</v>
      </c>
      <c r="X62" s="4" t="s">
        <v>21</v>
      </c>
      <c r="Y62" s="4" t="s">
        <v>21</v>
      </c>
      <c r="Z62" s="4" t="s">
        <v>21</v>
      </c>
      <c r="AA62" s="4" t="s">
        <v>21</v>
      </c>
      <c r="AB62" s="4" t="s">
        <v>21</v>
      </c>
      <c r="AC62" s="4" t="s">
        <v>21</v>
      </c>
      <c r="AD62" s="4" t="s">
        <v>21</v>
      </c>
      <c r="AE62" s="4" t="s">
        <v>21</v>
      </c>
      <c r="AF62" s="4" t="s">
        <v>21</v>
      </c>
      <c r="AG62" s="4" t="s">
        <v>21</v>
      </c>
      <c r="AH62" s="4" t="s">
        <v>21</v>
      </c>
      <c r="AI62" s="4" t="s">
        <v>21</v>
      </c>
      <c r="AJ62" s="4" t="s">
        <v>21</v>
      </c>
      <c r="AK62" s="4" t="n">
        <f aca="false">COUNTIF(Q62:Z62,"+")</f>
        <v>10</v>
      </c>
      <c r="AL62" s="4" t="n">
        <f aca="false">COUNTIF(AA62:AJ62,"+")</f>
        <v>10</v>
      </c>
    </row>
    <row r="63" customFormat="false" ht="15.75" hidden="false" customHeight="false" outlineLevel="0" collapsed="false">
      <c r="A63" s="6" t="n">
        <f aca="false">Parse!A71</f>
        <v>42872.71777</v>
      </c>
      <c r="B63" s="17" t="str">
        <f aca="false">Parse!B71</f>
        <v>Гарбуз</v>
      </c>
      <c r="C63" s="0" t="str">
        <f aca="false">Parse!C71</f>
        <v>Арина</v>
      </c>
      <c r="D63" s="0" t="n">
        <f aca="false">Parse!D71</f>
        <v>7</v>
      </c>
      <c r="E63" s="7" t="str">
        <f aca="false">Parse!E71</f>
        <v>98</v>
      </c>
      <c r="F63" s="0" t="n">
        <f aca="false">Parse!F71</f>
        <v>0</v>
      </c>
      <c r="G63" s="8" t="str">
        <f aca="false">IFERROR(MID(Parse!G71,SEARCH("vk.com",Parse!G71),LEN(Parse!G71)),Parse!G71)</f>
        <v>vk.com/agarbus2003</v>
      </c>
      <c r="H63" s="0" t="str">
        <f aca="false">Parse!H71</f>
        <v>gaa7086@gmail.com</v>
      </c>
      <c r="I63" s="0" t="str">
        <f aca="false">VLOOKUP(Parse!I71,$M$1:$N$11,2,FALSE())</f>
        <v>Математика(Кудык)</v>
      </c>
      <c r="J63" s="0" t="str">
        <f aca="false">VLOOKUP(Parse!J71,$M$1:$N$11,2,FALSE())</f>
        <v>Испанский</v>
      </c>
      <c r="K63" s="4" t="n">
        <v>2</v>
      </c>
      <c r="Q63" s="4" t="s">
        <v>21</v>
      </c>
      <c r="R63" s="4" t="s">
        <v>21</v>
      </c>
      <c r="S63" s="4" t="s">
        <v>21</v>
      </c>
      <c r="T63" s="4" t="s">
        <v>21</v>
      </c>
      <c r="U63" s="4" t="s">
        <v>21</v>
      </c>
      <c r="V63" s="4" t="s">
        <v>21</v>
      </c>
      <c r="W63" s="4" t="s">
        <v>21</v>
      </c>
      <c r="X63" s="4" t="s">
        <v>21</v>
      </c>
      <c r="Y63" s="4" t="s">
        <v>21</v>
      </c>
      <c r="Z63" s="4" t="s">
        <v>21</v>
      </c>
      <c r="AA63" s="4" t="s">
        <v>21</v>
      </c>
      <c r="AB63" s="4" t="s">
        <v>21</v>
      </c>
      <c r="AC63" s="4" t="s">
        <v>21</v>
      </c>
      <c r="AD63" s="4" t="s">
        <v>21</v>
      </c>
      <c r="AE63" s="4" t="s">
        <v>23</v>
      </c>
      <c r="AF63" s="4" t="s">
        <v>21</v>
      </c>
      <c r="AG63" s="4" t="s">
        <v>21</v>
      </c>
      <c r="AH63" s="4" t="s">
        <v>21</v>
      </c>
      <c r="AI63" s="4" t="s">
        <v>21</v>
      </c>
      <c r="AJ63" s="4" t="s">
        <v>21</v>
      </c>
      <c r="AK63" s="4" t="n">
        <f aca="false">COUNTIF(Q63:Z63,"+")</f>
        <v>10</v>
      </c>
      <c r="AL63" s="4" t="n">
        <f aca="false">COUNTIF(AA63:AJ63,"+")</f>
        <v>9</v>
      </c>
    </row>
    <row r="64" customFormat="false" ht="15.75" hidden="false" customHeight="false" outlineLevel="0" collapsed="false">
      <c r="A64" s="6" t="n">
        <f aca="false">Parse!A72</f>
        <v>42872.7245</v>
      </c>
      <c r="B64" s="19" t="str">
        <f aca="false">Parse!B72</f>
        <v>Кушнарева</v>
      </c>
      <c r="C64" s="0" t="str">
        <f aca="false">Parse!C72</f>
        <v>Анастасия</v>
      </c>
      <c r="D64" s="0" t="n">
        <f aca="false">Parse!D72</f>
        <v>10</v>
      </c>
      <c r="E64" s="7" t="str">
        <f aca="false">Parse!E72</f>
        <v>гимназия 159</v>
      </c>
      <c r="F64" s="0" t="n">
        <f aca="false">Parse!F72</f>
        <v>0</v>
      </c>
      <c r="G64" s="8" t="str">
        <f aca="false">IFERROR(MID(Parse!G72,SEARCH("vk.com",Parse!G72),LEN(Parse!G72)),Parse!G72)</f>
        <v>vk.com/akushnareva2000</v>
      </c>
      <c r="H64" s="0" t="str">
        <f aca="false">Parse!H72</f>
        <v>anastasiakushnareva26@gmail.com</v>
      </c>
      <c r="I64" s="0" t="str">
        <f aca="false">VLOOKUP(Parse!I72,$M$1:$N$11,2,FALSE())</f>
        <v>Физика(Рутберг)</v>
      </c>
      <c r="J64" s="0" t="str">
        <f aca="false">VLOOKUP(Parse!J72,$M$1:$N$11,2,FALSE())</f>
        <v>Физика(Шумаков)</v>
      </c>
      <c r="K64" s="4" t="n">
        <v>2</v>
      </c>
      <c r="Q64" s="4" t="s">
        <v>21</v>
      </c>
      <c r="R64" s="4" t="s">
        <v>21</v>
      </c>
      <c r="S64" s="4" t="s">
        <v>21</v>
      </c>
      <c r="T64" s="4" t="s">
        <v>21</v>
      </c>
      <c r="U64" s="4" t="s">
        <v>23</v>
      </c>
      <c r="V64" s="4" t="s">
        <v>23</v>
      </c>
      <c r="W64" s="4" t="s">
        <v>21</v>
      </c>
      <c r="X64" s="4" t="s">
        <v>21</v>
      </c>
      <c r="Y64" s="4" t="s">
        <v>21</v>
      </c>
      <c r="Z64" s="4" t="s">
        <v>21</v>
      </c>
      <c r="AA64" s="4" t="s">
        <v>21</v>
      </c>
      <c r="AB64" s="4" t="s">
        <v>21</v>
      </c>
      <c r="AC64" s="4" t="s">
        <v>21</v>
      </c>
      <c r="AD64" s="4" t="s">
        <v>21</v>
      </c>
      <c r="AE64" s="4" t="s">
        <v>21</v>
      </c>
      <c r="AF64" s="4" t="s">
        <v>21</v>
      </c>
      <c r="AG64" s="4" t="s">
        <v>21</v>
      </c>
      <c r="AH64" s="4" t="s">
        <v>21</v>
      </c>
      <c r="AI64" s="4" t="s">
        <v>23</v>
      </c>
      <c r="AJ64" s="4" t="s">
        <v>23</v>
      </c>
      <c r="AK64" s="4" t="n">
        <f aca="false">COUNTIF(Q64:Z64,"+")</f>
        <v>8</v>
      </c>
      <c r="AL64" s="4" t="n">
        <f aca="false">COUNTIF(AA64:AJ64,"+")</f>
        <v>8</v>
      </c>
    </row>
    <row r="65" customFormat="false" ht="15.75" hidden="false" customHeight="false" outlineLevel="0" collapsed="false">
      <c r="A65" s="6" t="n">
        <f aca="false">Parse!A73</f>
        <v>42872.7722</v>
      </c>
      <c r="B65" s="0" t="str">
        <f aca="false">Parse!B73</f>
        <v>Артамонов</v>
      </c>
      <c r="C65" s="0" t="str">
        <f aca="false">Parse!C73</f>
        <v>Виктор</v>
      </c>
      <c r="D65" s="0" t="n">
        <f aca="false">Parse!D73</f>
        <v>9</v>
      </c>
      <c r="E65" s="7" t="str">
        <f aca="false">Parse!E73</f>
        <v>Гимназия № 140</v>
      </c>
      <c r="F65" s="0" t="n">
        <f aca="false">Parse!F73</f>
        <v>0</v>
      </c>
      <c r="G65" s="8" t="str">
        <f aca="false">IFERROR(MID(Parse!G73,SEARCH("vk.com",Parse!G73),LEN(Parse!G73)),Parse!G73)</f>
        <v>vk.com/svandrith</v>
      </c>
      <c r="H65" s="0" t="str">
        <f aca="false">Parse!H73</f>
        <v>mr.viktorasov@mail.ru</v>
      </c>
      <c r="I65" s="0" t="str">
        <f aca="false">VLOOKUP(Parse!I73,$M$1:$N$11,2,FALSE())</f>
        <v>Физика(Шумаков)</v>
      </c>
      <c r="J65" s="0" t="str">
        <f aca="false">VLOOKUP(Parse!J73,$M$1:$N$11,2,FALSE())</f>
        <v>Программирование(Шульга)</v>
      </c>
      <c r="K65" s="4" t="n">
        <v>2</v>
      </c>
      <c r="Q65" s="4" t="s">
        <v>21</v>
      </c>
      <c r="R65" s="4" t="s">
        <v>21</v>
      </c>
      <c r="S65" s="4" t="s">
        <v>23</v>
      </c>
      <c r="T65" s="4" t="s">
        <v>23</v>
      </c>
      <c r="U65" s="4" t="s">
        <v>23</v>
      </c>
      <c r="V65" s="4" t="s">
        <v>23</v>
      </c>
      <c r="W65" s="4" t="s">
        <v>23</v>
      </c>
      <c r="X65" s="4" t="s">
        <v>23</v>
      </c>
      <c r="Y65" s="4" t="s">
        <v>23</v>
      </c>
      <c r="Z65" s="4" t="s">
        <v>23</v>
      </c>
      <c r="AA65" s="4" t="s">
        <v>21</v>
      </c>
      <c r="AB65" s="4" t="s">
        <v>21</v>
      </c>
      <c r="AC65" s="4" t="s">
        <v>23</v>
      </c>
      <c r="AD65" s="4" t="s">
        <v>23</v>
      </c>
      <c r="AE65" s="4" t="s">
        <v>21</v>
      </c>
      <c r="AF65" s="4" t="s">
        <v>21</v>
      </c>
      <c r="AG65" s="4" t="s">
        <v>23</v>
      </c>
      <c r="AH65" s="4" t="s">
        <v>23</v>
      </c>
      <c r="AI65" s="4" t="s">
        <v>23</v>
      </c>
      <c r="AJ65" s="4" t="s">
        <v>23</v>
      </c>
      <c r="AK65" s="4" t="n">
        <f aca="false">COUNTIF(Q65:Z65,"+")</f>
        <v>2</v>
      </c>
      <c r="AL65" s="4" t="n">
        <f aca="false">COUNTIF(AA65:AJ65,"+")</f>
        <v>4</v>
      </c>
    </row>
    <row r="66" customFormat="false" ht="15.75" hidden="false" customHeight="false" outlineLevel="0" collapsed="false">
      <c r="A66" s="6" t="n">
        <f aca="false">Parse!A74</f>
        <v>42872.82033</v>
      </c>
      <c r="B66" s="20" t="str">
        <f aca="false">Parse!B74</f>
        <v>Ибатуллина</v>
      </c>
      <c r="C66" s="0" t="str">
        <f aca="false">Parse!C74</f>
        <v>Амалия</v>
      </c>
      <c r="D66" s="0" t="n">
        <f aca="false">Parse!D74</f>
        <v>7</v>
      </c>
      <c r="E66" s="7" t="str">
        <f aca="false">Parse!E74</f>
        <v>МОЦРО 117</v>
      </c>
      <c r="F66" s="0" t="n">
        <f aca="false">Parse!F74</f>
        <v>0</v>
      </c>
      <c r="G66" s="8" t="str">
        <f aca="false">IFERROR(MID(Parse!G74,SEARCH("vk.com",Parse!G74),LEN(Parse!G74)),Parse!G74)</f>
        <v>vk.com/id262530619</v>
      </c>
      <c r="H66" s="0" t="str">
        <f aca="false">Parse!H74</f>
        <v>ibatullin77@yandex.ru</v>
      </c>
      <c r="I66" s="0" t="str">
        <f aca="false">VLOOKUP(Parse!I74,$M$1:$N$11,2,FALSE())</f>
        <v>Право</v>
      </c>
      <c r="J66" s="0" t="str">
        <f aca="false">VLOOKUP(Parse!J74,$M$1:$N$11,2,FALSE())</f>
        <v>Программирование(Шульга)</v>
      </c>
      <c r="K66" s="4" t="n">
        <v>2</v>
      </c>
      <c r="Q66" s="4" t="s">
        <v>21</v>
      </c>
      <c r="R66" s="4" t="s">
        <v>21</v>
      </c>
      <c r="S66" s="4" t="s">
        <v>21</v>
      </c>
      <c r="T66" s="4" t="s">
        <v>21</v>
      </c>
      <c r="U66" s="4" t="s">
        <v>21</v>
      </c>
      <c r="V66" s="4" t="s">
        <v>21</v>
      </c>
      <c r="W66" s="4" t="s">
        <v>21</v>
      </c>
      <c r="X66" s="4" t="s">
        <v>21</v>
      </c>
      <c r="Y66" s="4" t="s">
        <v>21</v>
      </c>
      <c r="Z66" s="4" t="s">
        <v>21</v>
      </c>
      <c r="AA66" s="4" t="s">
        <v>21</v>
      </c>
      <c r="AB66" s="4" t="s">
        <v>21</v>
      </c>
      <c r="AC66" s="4" t="s">
        <v>21</v>
      </c>
      <c r="AD66" s="4" t="s">
        <v>21</v>
      </c>
      <c r="AE66" s="4" t="s">
        <v>21</v>
      </c>
      <c r="AF66" s="4" t="s">
        <v>21</v>
      </c>
      <c r="AG66" s="4" t="s">
        <v>23</v>
      </c>
      <c r="AH66" s="4" t="s">
        <v>23</v>
      </c>
      <c r="AI66" s="4" t="s">
        <v>21</v>
      </c>
      <c r="AJ66" s="4" t="s">
        <v>21</v>
      </c>
      <c r="AK66" s="4" t="n">
        <f aca="false">COUNTIF(Q66:Z66,"+")</f>
        <v>10</v>
      </c>
      <c r="AL66" s="4" t="n">
        <f aca="false">COUNTIF(AA66:AJ66,"+")</f>
        <v>8</v>
      </c>
    </row>
    <row r="67" customFormat="false" ht="15.75" hidden="false" customHeight="false" outlineLevel="0" collapsed="false">
      <c r="A67" s="6" t="n">
        <f aca="false">Parse!A75</f>
        <v>42873.30779</v>
      </c>
      <c r="B67" s="19" t="str">
        <f aca="false">Parse!B75</f>
        <v>Мальцев</v>
      </c>
      <c r="C67" s="0" t="str">
        <f aca="false">Parse!C75</f>
        <v>Владимир</v>
      </c>
      <c r="D67" s="0" t="n">
        <f aca="false">Parse!D75</f>
        <v>7</v>
      </c>
      <c r="E67" s="7" t="str">
        <f aca="false">Parse!E75</f>
        <v>149</v>
      </c>
      <c r="F67" s="0" t="n">
        <f aca="false">Parse!F75</f>
        <v>0</v>
      </c>
      <c r="G67" s="8" t="str">
        <f aca="false">IFERROR(MID(Parse!G75,SEARCH("vk.com",Parse!G75),LEN(Parse!G75)),Parse!G75)</f>
        <v>vk.com/id269312243</v>
      </c>
      <c r="H67" s="0" t="str">
        <f aca="false">Parse!H75</f>
        <v>masnaja_marina@mail.ru</v>
      </c>
      <c r="I67" s="0" t="str">
        <f aca="false">VLOOKUP(Parse!I75,$M$1:$N$11,2,FALSE())</f>
        <v>Математика(Кудык)</v>
      </c>
      <c r="J67" s="0" t="str">
        <f aca="false">VLOOKUP(Parse!J75,$M$1:$N$11,2,FALSE())</f>
        <v>Программирование(Шульга)</v>
      </c>
      <c r="K67" s="4" t="n">
        <v>2</v>
      </c>
      <c r="Q67" s="4" t="s">
        <v>21</v>
      </c>
      <c r="R67" s="4" t="s">
        <v>21</v>
      </c>
      <c r="S67" s="4" t="s">
        <v>21</v>
      </c>
      <c r="T67" s="4" t="s">
        <v>21</v>
      </c>
      <c r="U67" s="4" t="s">
        <v>21</v>
      </c>
      <c r="V67" s="4" t="s">
        <v>21</v>
      </c>
      <c r="W67" s="4" t="s">
        <v>21</v>
      </c>
      <c r="X67" s="4" t="s">
        <v>21</v>
      </c>
      <c r="Y67" s="4" t="s">
        <v>21</v>
      </c>
      <c r="Z67" s="4" t="s">
        <v>21</v>
      </c>
      <c r="AA67" s="4" t="s">
        <v>21</v>
      </c>
      <c r="AB67" s="4" t="s">
        <v>21</v>
      </c>
      <c r="AC67" s="4" t="s">
        <v>21</v>
      </c>
      <c r="AD67" s="4" t="s">
        <v>21</v>
      </c>
      <c r="AE67" s="4" t="s">
        <v>21</v>
      </c>
      <c r="AF67" s="4" t="s">
        <v>21</v>
      </c>
      <c r="AG67" s="4" t="s">
        <v>21</v>
      </c>
      <c r="AH67" s="4" t="s">
        <v>21</v>
      </c>
      <c r="AI67" s="4" t="s">
        <v>21</v>
      </c>
      <c r="AJ67" s="4" t="s">
        <v>21</v>
      </c>
      <c r="AK67" s="4" t="n">
        <f aca="false">COUNTIF(Q67:Z67,"+")</f>
        <v>10</v>
      </c>
      <c r="AL67" s="4" t="n">
        <f aca="false">COUNTIF(AA67:AJ67,"+")</f>
        <v>10</v>
      </c>
    </row>
    <row r="68" customFormat="false" ht="15.75" hidden="false" customHeight="false" outlineLevel="0" collapsed="false">
      <c r="A68" s="6" t="n">
        <f aca="false">Parse!A76</f>
        <v>42873.33091</v>
      </c>
      <c r="B68" s="0" t="str">
        <f aca="false">Parse!B76</f>
        <v>Янукова</v>
      </c>
      <c r="C68" s="0" t="str">
        <f aca="false">Parse!C76</f>
        <v>Екатерина</v>
      </c>
      <c r="D68" s="0" t="n">
        <f aca="false">Parse!D76</f>
        <v>10</v>
      </c>
      <c r="E68" s="7" t="str">
        <f aca="false">Parse!E76</f>
        <v>81</v>
      </c>
      <c r="F68" s="0" t="n">
        <f aca="false">Parse!F76</f>
        <v>0</v>
      </c>
      <c r="G68" s="8" t="str">
        <f aca="false">IFERROR(MID(Parse!G76,SEARCH("vk.com",Parse!G76),LEN(Parse!G76)),Parse!G76)</f>
        <v>vk.com/id150796947</v>
      </c>
      <c r="H68" s="0" t="str">
        <f aca="false">Parse!H76</f>
        <v>elena051178@gmail.com</v>
      </c>
      <c r="I68" s="0" t="str">
        <f aca="false">VLOOKUP(Parse!I76,$M$1:$N$11,2,FALSE())</f>
        <v>Право</v>
      </c>
      <c r="J68" s="0" t="str">
        <f aca="false">VLOOKUP(Parse!J76,$M$1:$N$11,2,FALSE())</f>
        <v>Экономика</v>
      </c>
      <c r="K68" s="4" t="n">
        <v>2</v>
      </c>
      <c r="Q68" s="4" t="s">
        <v>21</v>
      </c>
      <c r="R68" s="4" t="s">
        <v>21</v>
      </c>
      <c r="S68" s="4" t="s">
        <v>21</v>
      </c>
      <c r="T68" s="4" t="s">
        <v>21</v>
      </c>
      <c r="U68" s="4" t="s">
        <v>21</v>
      </c>
      <c r="V68" s="4" t="s">
        <v>21</v>
      </c>
      <c r="W68" s="4" t="s">
        <v>21</v>
      </c>
      <c r="X68" s="4" t="s">
        <v>21</v>
      </c>
      <c r="Y68" s="4" t="s">
        <v>21</v>
      </c>
      <c r="Z68" s="4" t="s">
        <v>21</v>
      </c>
      <c r="AA68" s="4" t="s">
        <v>21</v>
      </c>
      <c r="AB68" s="4" t="s">
        <v>21</v>
      </c>
      <c r="AC68" s="4" t="s">
        <v>21</v>
      </c>
      <c r="AD68" s="4" t="s">
        <v>21</v>
      </c>
      <c r="AE68" s="4" t="s">
        <v>21</v>
      </c>
      <c r="AF68" s="4" t="s">
        <v>21</v>
      </c>
      <c r="AG68" s="4" t="s">
        <v>21</v>
      </c>
      <c r="AH68" s="4" t="s">
        <v>21</v>
      </c>
      <c r="AI68" s="4" t="s">
        <v>21</v>
      </c>
      <c r="AJ68" s="4" t="s">
        <v>21</v>
      </c>
      <c r="AK68" s="4" t="n">
        <f aca="false">COUNTIF(Q68:Z68,"+")</f>
        <v>10</v>
      </c>
      <c r="AL68" s="4" t="n">
        <f aca="false">COUNTIF(AA68:AJ68,"+")</f>
        <v>10</v>
      </c>
    </row>
    <row r="69" customFormat="false" ht="15.75" hidden="false" customHeight="false" outlineLevel="0" collapsed="false">
      <c r="A69" s="6" t="n">
        <f aca="false">Parse!A77</f>
        <v>42873.41178</v>
      </c>
      <c r="B69" s="17" t="str">
        <f aca="false">Parse!B77</f>
        <v>Захарова</v>
      </c>
      <c r="C69" s="0" t="str">
        <f aca="false">Parse!C77</f>
        <v>Татьяна</v>
      </c>
      <c r="D69" s="0" t="n">
        <f aca="false">Parse!D77</f>
        <v>10</v>
      </c>
      <c r="E69" s="7" t="str">
        <f aca="false">Parse!E77</f>
        <v>117</v>
      </c>
      <c r="F69" s="0" t="n">
        <f aca="false">Parse!F77</f>
        <v>0</v>
      </c>
      <c r="G69" s="8" t="str">
        <f aca="false">IFERROR(MID(Parse!G77,SEARCH("vk.com",Parse!G77),LEN(Parse!G77)),Parse!G77)</f>
        <v>vk.com/tanya080900</v>
      </c>
      <c r="H69" s="0" t="str">
        <f aca="false">Parse!H77</f>
        <v>t.zakharova809@gmail.com</v>
      </c>
      <c r="I69" s="0" t="str">
        <f aca="false">VLOOKUP(Parse!I77,$M$1:$N$11,2,FALSE())</f>
        <v>Биоинформатика</v>
      </c>
      <c r="J69" s="0" t="str">
        <f aca="false">VLOOKUP(Parse!J77,$M$1:$N$11,2,FALSE())</f>
        <v>Математика(Строженко)</v>
      </c>
      <c r="K69" s="4" t="n">
        <v>2</v>
      </c>
      <c r="M69" s="4"/>
      <c r="Q69" s="4" t="s">
        <v>21</v>
      </c>
      <c r="R69" s="4" t="s">
        <v>21</v>
      </c>
      <c r="S69" s="4" t="s">
        <v>21</v>
      </c>
      <c r="T69" s="4" t="s">
        <v>21</v>
      </c>
      <c r="U69" s="4" t="s">
        <v>21</v>
      </c>
      <c r="V69" s="4" t="s">
        <v>21</v>
      </c>
      <c r="W69" s="4" t="s">
        <v>21</v>
      </c>
      <c r="X69" s="4" t="s">
        <v>21</v>
      </c>
      <c r="Y69" s="4" t="s">
        <v>21</v>
      </c>
      <c r="Z69" s="4" t="s">
        <v>21</v>
      </c>
      <c r="AA69" s="4" t="s">
        <v>21</v>
      </c>
      <c r="AB69" s="4" t="s">
        <v>21</v>
      </c>
      <c r="AC69" s="4" t="s">
        <v>21</v>
      </c>
      <c r="AD69" s="4" t="s">
        <v>21</v>
      </c>
      <c r="AE69" s="4" t="s">
        <v>21</v>
      </c>
      <c r="AF69" s="4" t="s">
        <v>21</v>
      </c>
      <c r="AG69" s="4" t="s">
        <v>21</v>
      </c>
      <c r="AH69" s="4" t="s">
        <v>21</v>
      </c>
      <c r="AI69" s="4" t="s">
        <v>21</v>
      </c>
      <c r="AJ69" s="4" t="s">
        <v>21</v>
      </c>
      <c r="AK69" s="4" t="n">
        <f aca="false">COUNTIF(Q69:Z69,"+")</f>
        <v>10</v>
      </c>
      <c r="AL69" s="4" t="n">
        <f aca="false">COUNTIF(AA69:AJ69,"+")</f>
        <v>10</v>
      </c>
    </row>
    <row r="70" customFormat="false" ht="15.75" hidden="false" customHeight="false" outlineLevel="0" collapsed="false">
      <c r="A70" s="6" t="n">
        <f aca="false">Parse!A78</f>
        <v>42873.48096</v>
      </c>
      <c r="B70" s="17" t="str">
        <f aca="false">Parse!B78</f>
        <v>Савченко</v>
      </c>
      <c r="C70" s="0" t="str">
        <f aca="false">Parse!C78</f>
        <v>Константин</v>
      </c>
      <c r="D70" s="0" t="n">
        <f aca="false">Parse!D78</f>
        <v>10</v>
      </c>
      <c r="E70" s="7" t="str">
        <f aca="false">Parse!E78</f>
        <v>117</v>
      </c>
      <c r="F70" s="0" t="n">
        <f aca="false">Parse!F78</f>
        <v>0</v>
      </c>
      <c r="G70" s="8" t="str">
        <f aca="false">IFERROR(MID(Parse!G78,SEARCH("vk.com",Parse!G78),LEN(Parse!G78)),Parse!G78)</f>
        <v>vk.com/id163053104</v>
      </c>
      <c r="H70" s="0" t="str">
        <f aca="false">Parse!H78</f>
        <v>skld0@bk.ru</v>
      </c>
      <c r="I70" s="0" t="str">
        <f aca="false">VLOOKUP(Parse!I78,$M$1:$N$11,2,FALSE())</f>
        <v>Физика(Шумаков)</v>
      </c>
      <c r="J70" s="0" t="str">
        <f aca="false">VLOOKUP(Parse!J78,$M$1:$N$11,2,FALSE())</f>
        <v>Математика(Строженко)</v>
      </c>
      <c r="K70" s="4" t="n">
        <v>2</v>
      </c>
      <c r="Q70" s="4" t="s">
        <v>21</v>
      </c>
      <c r="R70" s="4" t="s">
        <v>21</v>
      </c>
      <c r="S70" s="4" t="s">
        <v>21</v>
      </c>
      <c r="T70" s="4" t="s">
        <v>21</v>
      </c>
      <c r="U70" s="4" t="s">
        <v>21</v>
      </c>
      <c r="V70" s="4" t="s">
        <v>21</v>
      </c>
      <c r="W70" s="4" t="s">
        <v>21</v>
      </c>
      <c r="X70" s="4" t="s">
        <v>21</v>
      </c>
      <c r="Y70" s="4" t="s">
        <v>21</v>
      </c>
      <c r="Z70" s="4" t="s">
        <v>21</v>
      </c>
      <c r="AA70" s="4" t="s">
        <v>23</v>
      </c>
      <c r="AB70" s="4" t="s">
        <v>23</v>
      </c>
      <c r="AC70" s="4" t="s">
        <v>21</v>
      </c>
      <c r="AD70" s="4" t="s">
        <v>21</v>
      </c>
      <c r="AE70" s="4" t="s">
        <v>21</v>
      </c>
      <c r="AF70" s="4" t="s">
        <v>21</v>
      </c>
      <c r="AG70" s="4" t="s">
        <v>21</v>
      </c>
      <c r="AH70" s="4" t="s">
        <v>21</v>
      </c>
      <c r="AI70" s="4" t="s">
        <v>21</v>
      </c>
      <c r="AJ70" s="4" t="s">
        <v>21</v>
      </c>
      <c r="AK70" s="4" t="n">
        <f aca="false">COUNTIF(Q70:Z70,"+")</f>
        <v>10</v>
      </c>
      <c r="AL70" s="4" t="n">
        <f aca="false">COUNTIF(AA70:AJ70,"+")</f>
        <v>8</v>
      </c>
    </row>
    <row r="71" customFormat="false" ht="15.75" hidden="false" customHeight="false" outlineLevel="0" collapsed="false">
      <c r="A71" s="6" t="n">
        <f aca="false">Parse!A81</f>
        <v>42873.56202</v>
      </c>
      <c r="B71" s="17" t="str">
        <f aca="false">Parse!B81</f>
        <v>Кочурова</v>
      </c>
      <c r="C71" s="0" t="str">
        <f aca="false">Parse!C81</f>
        <v>Екатерина</v>
      </c>
      <c r="D71" s="0" t="n">
        <f aca="false">Parse!D81</f>
        <v>10</v>
      </c>
      <c r="E71" s="7" t="str">
        <f aca="false">Parse!E81</f>
        <v>БОУ ОО "МОЦРО 117"</v>
      </c>
      <c r="F71" s="0" t="n">
        <f aca="false">Parse!F81</f>
        <v>0</v>
      </c>
      <c r="G71" s="8" t="str">
        <f aca="false">IFERROR(MID(Parse!G81,SEARCH("vk.com",Parse!G81),LEN(Parse!G81)),Parse!G81)</f>
        <v>vk.com/id336544709</v>
      </c>
      <c r="H71" s="0" t="str">
        <f aca="false">Parse!H81</f>
        <v>katyakochurova@bk.ru</v>
      </c>
      <c r="I71" s="0" t="str">
        <f aca="false">VLOOKUP(Parse!I81,$M$1:$N$11,2,FALSE())</f>
        <v>Физика(Рутберг)</v>
      </c>
      <c r="J71" s="0" t="str">
        <f aca="false">VLOOKUP(Parse!J81,$M$1:$N$11,2,FALSE())</f>
        <v>Математика(Кудык)</v>
      </c>
      <c r="K71" s="4" t="n">
        <v>2</v>
      </c>
      <c r="Q71" s="4" t="s">
        <v>21</v>
      </c>
      <c r="R71" s="4" t="s">
        <v>21</v>
      </c>
      <c r="S71" s="4" t="s">
        <v>21</v>
      </c>
      <c r="T71" s="4" t="s">
        <v>21</v>
      </c>
      <c r="U71" s="4" t="s">
        <v>23</v>
      </c>
      <c r="V71" s="4" t="s">
        <v>23</v>
      </c>
      <c r="W71" s="4" t="s">
        <v>21</v>
      </c>
      <c r="X71" s="4" t="s">
        <v>21</v>
      </c>
      <c r="Y71" s="4" t="s">
        <v>21</v>
      </c>
      <c r="Z71" s="4" t="s">
        <v>21</v>
      </c>
      <c r="AA71" s="4" t="s">
        <v>21</v>
      </c>
      <c r="AB71" s="4" t="s">
        <v>21</v>
      </c>
      <c r="AC71" s="4" t="s">
        <v>21</v>
      </c>
      <c r="AD71" s="4" t="s">
        <v>21</v>
      </c>
      <c r="AE71" s="4" t="s">
        <v>21</v>
      </c>
      <c r="AF71" s="4" t="s">
        <v>21</v>
      </c>
      <c r="AG71" s="4" t="s">
        <v>21</v>
      </c>
      <c r="AH71" s="4" t="s">
        <v>21</v>
      </c>
      <c r="AI71" s="4" t="s">
        <v>21</v>
      </c>
      <c r="AJ71" s="4" t="s">
        <v>21</v>
      </c>
      <c r="AK71" s="4" t="n">
        <f aca="false">COUNTIF(Q71:Z71,"+")</f>
        <v>8</v>
      </c>
      <c r="AL71" s="4" t="n">
        <f aca="false">COUNTIF(AA71:AJ71,"+")</f>
        <v>10</v>
      </c>
    </row>
    <row r="72" customFormat="false" ht="15.75" hidden="false" customHeight="false" outlineLevel="0" collapsed="false">
      <c r="A72" s="6" t="n">
        <f aca="false">Parse!A82</f>
        <v>42873.64333</v>
      </c>
      <c r="B72" s="19" t="str">
        <f aca="false">Parse!B82</f>
        <v>Черноок</v>
      </c>
      <c r="C72" s="0" t="str">
        <f aca="false">Parse!C82</f>
        <v>Егор</v>
      </c>
      <c r="D72" s="0" t="n">
        <f aca="false">Parse!D82</f>
        <v>10</v>
      </c>
      <c r="E72" s="7" t="str">
        <f aca="false">Parse!E82</f>
        <v>МОЦРО 117</v>
      </c>
      <c r="F72" s="0" t="n">
        <f aca="false">Parse!F82</f>
        <v>0</v>
      </c>
      <c r="G72" s="8" t="str">
        <f aca="false">IFERROR(MID(Parse!G82,SEARCH("vk.com",Parse!G82),LEN(Parse!G82)),Parse!G82)</f>
        <v>vk.com/id149548495</v>
      </c>
      <c r="H72" s="0" t="str">
        <f aca="false">Parse!H82</f>
        <v>egor-chernook@mail.ru</v>
      </c>
      <c r="I72" s="0" t="str">
        <f aca="false">VLOOKUP(Parse!I82,$M$1:$N$11,2,FALSE())</f>
        <v>Физика(Шумаков)</v>
      </c>
      <c r="J72" s="0" t="str">
        <f aca="false">VLOOKUP(Parse!J82,$M$1:$N$11,2,FALSE())</f>
        <v>Программирование(Шульга)</v>
      </c>
      <c r="K72" s="4" t="n">
        <v>2</v>
      </c>
      <c r="Q72" s="4" t="s">
        <v>21</v>
      </c>
      <c r="R72" s="4" t="s">
        <v>21</v>
      </c>
      <c r="S72" s="4" t="s">
        <v>21</v>
      </c>
      <c r="T72" s="4" t="s">
        <v>21</v>
      </c>
      <c r="U72" s="4" t="s">
        <v>21</v>
      </c>
      <c r="V72" s="4" t="s">
        <v>21</v>
      </c>
      <c r="W72" s="4" t="s">
        <v>21</v>
      </c>
      <c r="X72" s="4" t="s">
        <v>21</v>
      </c>
      <c r="Y72" s="4" t="s">
        <v>21</v>
      </c>
      <c r="Z72" s="4" t="s">
        <v>21</v>
      </c>
      <c r="AA72" s="4" t="s">
        <v>21</v>
      </c>
      <c r="AB72" s="4" t="s">
        <v>21</v>
      </c>
      <c r="AC72" s="4" t="s">
        <v>21</v>
      </c>
      <c r="AD72" s="4" t="s">
        <v>21</v>
      </c>
      <c r="AE72" s="4" t="s">
        <v>21</v>
      </c>
      <c r="AF72" s="4" t="s">
        <v>21</v>
      </c>
      <c r="AG72" s="4" t="s">
        <v>21</v>
      </c>
      <c r="AH72" s="4" t="s">
        <v>21</v>
      </c>
      <c r="AI72" s="4" t="s">
        <v>21</v>
      </c>
      <c r="AJ72" s="4" t="s">
        <v>21</v>
      </c>
      <c r="AK72" s="4" t="n">
        <f aca="false">COUNTIF(Q72:Z72,"+")</f>
        <v>10</v>
      </c>
      <c r="AL72" s="4" t="n">
        <f aca="false">COUNTIF(AA72:AJ72,"+")</f>
        <v>10</v>
      </c>
    </row>
    <row r="73" customFormat="false" ht="15.75" hidden="false" customHeight="false" outlineLevel="0" collapsed="false">
      <c r="A73" s="6" t="n">
        <f aca="false">Parse!A83</f>
        <v>42873.71576</v>
      </c>
      <c r="B73" s="19" t="str">
        <f aca="false">Parse!B83</f>
        <v>Кошевая</v>
      </c>
      <c r="C73" s="0" t="str">
        <f aca="false">Parse!C83</f>
        <v>Анастасия</v>
      </c>
      <c r="D73" s="0" t="n">
        <f aca="false">Parse!D83</f>
        <v>7</v>
      </c>
      <c r="E73" s="7" t="str">
        <f aca="false">Parse!E83</f>
        <v>"МОЦРО 117"</v>
      </c>
      <c r="F73" s="0" t="n">
        <f aca="false">Parse!F83</f>
        <v>0</v>
      </c>
      <c r="G73" s="8" t="str">
        <f aca="false">IFERROR(MID(Parse!G83,SEARCH("vk.com",Parse!G83),LEN(Parse!G83)),Parse!G83)</f>
        <v>vk.com/id249818753</v>
      </c>
      <c r="H73" s="0" t="str">
        <f aca="false">Parse!H83</f>
        <v>kov_otp@mail.ru</v>
      </c>
      <c r="I73" s="0" t="str">
        <f aca="false">VLOOKUP(Parse!I83,$M$1:$N$11,2,FALSE())</f>
        <v>Математика(Кудык)</v>
      </c>
      <c r="J73" s="0" t="str">
        <f aca="false">VLOOKUP(Parse!J83,$M$1:$N$11,2,FALSE())</f>
        <v>Программирование(Шульга)</v>
      </c>
      <c r="K73" s="4" t="n">
        <v>2</v>
      </c>
      <c r="Q73" s="4" t="s">
        <v>21</v>
      </c>
      <c r="R73" s="4" t="s">
        <v>21</v>
      </c>
      <c r="S73" s="4" t="s">
        <v>21</v>
      </c>
      <c r="T73" s="4" t="s">
        <v>21</v>
      </c>
      <c r="U73" s="4" t="s">
        <v>21</v>
      </c>
      <c r="V73" s="4" t="s">
        <v>21</v>
      </c>
      <c r="W73" s="4" t="s">
        <v>21</v>
      </c>
      <c r="X73" s="4" t="s">
        <v>21</v>
      </c>
      <c r="Y73" s="4" t="s">
        <v>21</v>
      </c>
      <c r="Z73" s="4" t="s">
        <v>21</v>
      </c>
      <c r="AA73" s="4" t="s">
        <v>21</v>
      </c>
      <c r="AB73" s="4" t="s">
        <v>21</v>
      </c>
      <c r="AC73" s="4" t="s">
        <v>21</v>
      </c>
      <c r="AD73" s="4" t="s">
        <v>21</v>
      </c>
      <c r="AE73" s="4" t="s">
        <v>21</v>
      </c>
      <c r="AF73" s="4" t="s">
        <v>21</v>
      </c>
      <c r="AG73" s="4" t="s">
        <v>21</v>
      </c>
      <c r="AH73" s="4" t="s">
        <v>21</v>
      </c>
      <c r="AI73" s="4" t="s">
        <v>21</v>
      </c>
      <c r="AJ73" s="4" t="s">
        <v>21</v>
      </c>
      <c r="AK73" s="4" t="n">
        <f aca="false">COUNTIF(Q73:Z73,"+")</f>
        <v>10</v>
      </c>
      <c r="AL73" s="4" t="n">
        <f aca="false">COUNTIF(AA73:AJ73,"+")</f>
        <v>10</v>
      </c>
    </row>
    <row r="74" customFormat="false" ht="15.75" hidden="false" customHeight="false" outlineLevel="0" collapsed="false">
      <c r="A74" s="6" t="n">
        <f aca="false">Parse!A85</f>
        <v>42873.73692</v>
      </c>
      <c r="B74" s="19" t="str">
        <f aca="false">Parse!B85</f>
        <v>Крючков</v>
      </c>
      <c r="C74" s="0" t="str">
        <f aca="false">Parse!C85</f>
        <v>Сергей</v>
      </c>
      <c r="D74" s="0" t="n">
        <f aca="false">Parse!D85</f>
        <v>9</v>
      </c>
      <c r="E74" s="7" t="str">
        <f aca="false">Parse!E85</f>
        <v>БОУ г. Омска Лицей №66</v>
      </c>
      <c r="F74" s="0" t="n">
        <f aca="false">Parse!F85</f>
        <v>0</v>
      </c>
      <c r="G74" s="8" t="str">
        <f aca="false">IFERROR(MID(Parse!G85,SEARCH("vk.com",Parse!G85),LEN(Parse!G85)),Parse!G85)</f>
        <v>vk.com/sergey80401</v>
      </c>
      <c r="H74" s="0" t="str">
        <f aca="false">Parse!H85</f>
        <v>sergey80401@gmail.com</v>
      </c>
      <c r="I74" s="0" t="str">
        <f aca="false">VLOOKUP(Parse!I85,$M$1:$N$11,2,FALSE())</f>
        <v>Программирование(Шульга)</v>
      </c>
      <c r="J74" s="0" t="str">
        <f aca="false">VLOOKUP(Parse!J85,$M$1:$N$11,2,FALSE())</f>
        <v>Математика(Кудык)</v>
      </c>
      <c r="K74" s="4" t="n">
        <v>2</v>
      </c>
      <c r="M74" s="4"/>
      <c r="Q74" s="4" t="s">
        <v>21</v>
      </c>
      <c r="R74" s="4" t="s">
        <v>21</v>
      </c>
      <c r="S74" s="4" t="s">
        <v>21</v>
      </c>
      <c r="T74" s="4" t="s">
        <v>21</v>
      </c>
      <c r="U74" s="4" t="s">
        <v>21</v>
      </c>
      <c r="V74" s="4" t="s">
        <v>21</v>
      </c>
      <c r="W74" s="4" t="s">
        <v>21</v>
      </c>
      <c r="X74" s="4" t="s">
        <v>21</v>
      </c>
      <c r="Y74" s="4" t="s">
        <v>21</v>
      </c>
      <c r="Z74" s="4" t="s">
        <v>21</v>
      </c>
      <c r="AA74" s="4" t="s">
        <v>21</v>
      </c>
      <c r="AB74" s="4" t="s">
        <v>21</v>
      </c>
      <c r="AC74" s="4" t="s">
        <v>21</v>
      </c>
      <c r="AD74" s="4" t="s">
        <v>21</v>
      </c>
      <c r="AE74" s="4" t="s">
        <v>21</v>
      </c>
      <c r="AF74" s="4" t="s">
        <v>21</v>
      </c>
      <c r="AG74" s="4" t="s">
        <v>21</v>
      </c>
      <c r="AH74" s="4" t="s">
        <v>21</v>
      </c>
      <c r="AI74" s="4" t="s">
        <v>21</v>
      </c>
      <c r="AJ74" s="4" t="s">
        <v>21</v>
      </c>
      <c r="AK74" s="4" t="n">
        <f aca="false">COUNTIF(Q74:Z74,"+")</f>
        <v>10</v>
      </c>
      <c r="AL74" s="4" t="n">
        <f aca="false">COUNTIF(AA74:AJ74,"+")</f>
        <v>10</v>
      </c>
    </row>
    <row r="75" customFormat="false" ht="15.75" hidden="false" customHeight="false" outlineLevel="0" collapsed="false">
      <c r="A75" s="6" t="n">
        <f aca="false">Parse!A86</f>
        <v>42873.8096</v>
      </c>
      <c r="B75" s="0" t="str">
        <f aca="false">Parse!B86</f>
        <v>Олейник</v>
      </c>
      <c r="C75" s="0" t="str">
        <f aca="false">Parse!C86</f>
        <v>Анастасия</v>
      </c>
      <c r="D75" s="0" t="n">
        <f aca="false">Parse!D86</f>
        <v>10</v>
      </c>
      <c r="E75" s="0" t="n">
        <f aca="false">Parse!E86</f>
        <v>117</v>
      </c>
      <c r="F75" s="0" t="n">
        <f aca="false">Parse!F86</f>
        <v>0</v>
      </c>
      <c r="G75" s="8" t="str">
        <f aca="false">IFERROR(MID(Parse!G86,SEARCH("vk.com",Parse!G86),LEN(Parse!G86)),Parse!G86)</f>
        <v>vk.com/lololen.gobz</v>
      </c>
      <c r="H75" s="0" t="str">
        <f aca="false">Parse!H86</f>
        <v>Лень</v>
      </c>
      <c r="I75" s="0" t="str">
        <f aca="false">VLOOKUP(Parse!I86,$M$1:$N$11,2,FALSE())</f>
        <v>Программирование(Свет)</v>
      </c>
      <c r="J75" s="0" t="str">
        <f aca="false">VLOOKUP(Parse!J86,$M$1:$N$11,2,FALSE())</f>
        <v>Физика(Шумаков)</v>
      </c>
      <c r="K75" s="4" t="n">
        <v>2</v>
      </c>
      <c r="Q75" s="4" t="s">
        <v>23</v>
      </c>
      <c r="R75" s="4" t="s">
        <v>23</v>
      </c>
      <c r="S75" s="4" t="s">
        <v>23</v>
      </c>
      <c r="T75" s="4" t="s">
        <v>23</v>
      </c>
      <c r="U75" s="4" t="s">
        <v>23</v>
      </c>
      <c r="V75" s="4" t="s">
        <v>23</v>
      </c>
      <c r="W75" s="4" t="s">
        <v>23</v>
      </c>
      <c r="X75" s="4" t="s">
        <v>23</v>
      </c>
      <c r="Y75" s="4" t="s">
        <v>23</v>
      </c>
      <c r="Z75" s="4" t="s">
        <v>23</v>
      </c>
      <c r="AA75" s="4" t="s">
        <v>23</v>
      </c>
      <c r="AB75" s="4" t="s">
        <v>23</v>
      </c>
      <c r="AC75" s="4" t="s">
        <v>23</v>
      </c>
      <c r="AD75" s="4" t="s">
        <v>23</v>
      </c>
      <c r="AE75" s="4" t="s">
        <v>23</v>
      </c>
      <c r="AF75" s="4" t="s">
        <v>23</v>
      </c>
      <c r="AG75" s="4" t="s">
        <v>23</v>
      </c>
      <c r="AH75" s="4" t="s">
        <v>23</v>
      </c>
      <c r="AI75" s="4" t="s">
        <v>23</v>
      </c>
      <c r="AJ75" s="4" t="s">
        <v>23</v>
      </c>
      <c r="AK75" s="4" t="n">
        <f aca="false">COUNTIF(Q75:Z75,"+")</f>
        <v>0</v>
      </c>
      <c r="AL75" s="4" t="n">
        <f aca="false">COUNTIF(AA75:AJ75,"+")</f>
        <v>0</v>
      </c>
    </row>
    <row r="76" customFormat="false" ht="15.75" hidden="false" customHeight="false" outlineLevel="0" collapsed="false">
      <c r="A76" s="6" t="n">
        <f aca="false">Parse!A87</f>
        <v>42874.44946</v>
      </c>
      <c r="B76" s="17" t="str">
        <f aca="false">Parse!B87</f>
        <v>Смирнов</v>
      </c>
      <c r="C76" s="0" t="str">
        <f aca="false">Parse!C87</f>
        <v>Михаил</v>
      </c>
      <c r="D76" s="0" t="n">
        <f aca="false">Parse!D87</f>
        <v>7</v>
      </c>
      <c r="E76" s="0" t="str">
        <f aca="false">Parse!E87</f>
        <v>БОУ ОО МОЦРО 117</v>
      </c>
      <c r="F76" s="0" t="n">
        <f aca="false">Parse!F87</f>
        <v>0</v>
      </c>
      <c r="G76" s="8" t="str">
        <f aca="false">IFERROR(MID(Parse!G87,SEARCH("vk.com",Parse!G87),LEN(Parse!G87)),Parse!G87)</f>
        <v>vk.com/id383760243</v>
      </c>
      <c r="H76" s="0" t="str">
        <f aca="false">Parse!H87</f>
        <v>smirnov2571@gmail.com</v>
      </c>
      <c r="I76" s="0" t="str">
        <f aca="false">VLOOKUP(Parse!I87,$M$1:$N$11,2,FALSE())</f>
        <v>Математика(Кудык)</v>
      </c>
      <c r="J76" s="0" t="str">
        <f aca="false">VLOOKUP(Parse!J87,$M$1:$N$11,2,FALSE())</f>
        <v>Физика(Рутберг)</v>
      </c>
      <c r="K76" s="4" t="n">
        <v>2</v>
      </c>
      <c r="Q76" s="4" t="s">
        <v>21</v>
      </c>
      <c r="R76" s="4" t="s">
        <v>21</v>
      </c>
      <c r="S76" s="4" t="s">
        <v>23</v>
      </c>
      <c r="T76" s="4" t="s">
        <v>23</v>
      </c>
      <c r="U76" s="4" t="s">
        <v>21</v>
      </c>
      <c r="V76" s="4" t="s">
        <v>21</v>
      </c>
      <c r="W76" s="4" t="s">
        <v>21</v>
      </c>
      <c r="X76" s="4" t="s">
        <v>21</v>
      </c>
      <c r="Y76" s="4" t="s">
        <v>21</v>
      </c>
      <c r="Z76" s="4" t="s">
        <v>21</v>
      </c>
      <c r="AA76" s="4" t="s">
        <v>21</v>
      </c>
      <c r="AB76" s="4" t="s">
        <v>21</v>
      </c>
      <c r="AC76" s="4" t="s">
        <v>21</v>
      </c>
      <c r="AD76" s="4" t="s">
        <v>21</v>
      </c>
      <c r="AE76" s="4" t="s">
        <v>21</v>
      </c>
      <c r="AF76" s="4" t="s">
        <v>21</v>
      </c>
      <c r="AG76" s="4" t="s">
        <v>21</v>
      </c>
      <c r="AH76" s="4" t="s">
        <v>21</v>
      </c>
      <c r="AI76" s="4" t="s">
        <v>21</v>
      </c>
      <c r="AJ76" s="4" t="s">
        <v>21</v>
      </c>
      <c r="AK76" s="4" t="n">
        <f aca="false">COUNTIF(Q76:Z76,"+")</f>
        <v>8</v>
      </c>
      <c r="AL76" s="4" t="n">
        <f aca="false">COUNTIF(AA76:AJ76,"+")</f>
        <v>10</v>
      </c>
    </row>
    <row r="77" customFormat="false" ht="15.75" hidden="false" customHeight="false" outlineLevel="0" collapsed="false">
      <c r="A77" s="6" t="n">
        <f aca="false">Parse!A88</f>
        <v>42874.47187</v>
      </c>
      <c r="B77" s="19" t="str">
        <f aca="false">Parse!B88</f>
        <v>Успанова</v>
      </c>
      <c r="C77" s="0" t="str">
        <f aca="false">Parse!C88</f>
        <v>Розалита</v>
      </c>
      <c r="D77" s="0" t="n">
        <f aca="false">Parse!D88</f>
        <v>10</v>
      </c>
      <c r="E77" s="0" t="str">
        <f aca="false">Parse!E88</f>
        <v>№81</v>
      </c>
      <c r="F77" s="0" t="n">
        <f aca="false">Parse!F88</f>
        <v>0</v>
      </c>
      <c r="G77" s="8" t="str">
        <f aca="false">IFERROR(MID(Parse!G88,SEARCH("vk.com",Parse!G88),LEN(Parse!G88)),Parse!G88)</f>
        <v>vk.com/id162562572</v>
      </c>
      <c r="H77" s="0" t="str">
        <f aca="false">Parse!H88</f>
        <v>aferim11@mail.ru</v>
      </c>
      <c r="I77" s="0" t="str">
        <f aca="false">VLOOKUP(Parse!I88,$M$1:$N$11,2,FALSE())</f>
        <v>Физика(Рутберг)</v>
      </c>
      <c r="J77" s="0" t="str">
        <f aca="false">VLOOKUP(Parse!J88,$M$1:$N$11,2,FALSE())</f>
        <v>Математика(Кудык)</v>
      </c>
      <c r="K77" s="4" t="n">
        <v>2</v>
      </c>
      <c r="N77" s="4" t="s">
        <v>35</v>
      </c>
      <c r="Q77" s="4" t="s">
        <v>23</v>
      </c>
      <c r="R77" s="4" t="s">
        <v>23</v>
      </c>
      <c r="S77" s="4" t="s">
        <v>23</v>
      </c>
      <c r="T77" s="4" t="s">
        <v>23</v>
      </c>
      <c r="U77" s="4" t="s">
        <v>23</v>
      </c>
      <c r="V77" s="4" t="s">
        <v>23</v>
      </c>
      <c r="W77" s="4" t="s">
        <v>23</v>
      </c>
      <c r="X77" s="4" t="s">
        <v>23</v>
      </c>
      <c r="Y77" s="4" t="s">
        <v>23</v>
      </c>
      <c r="Z77" s="4" t="s">
        <v>23</v>
      </c>
      <c r="AA77" s="4" t="s">
        <v>21</v>
      </c>
      <c r="AB77" s="4" t="s">
        <v>21</v>
      </c>
      <c r="AC77" s="4" t="s">
        <v>21</v>
      </c>
      <c r="AD77" s="4" t="s">
        <v>21</v>
      </c>
      <c r="AE77" s="4" t="s">
        <v>23</v>
      </c>
      <c r="AF77" s="4" t="s">
        <v>23</v>
      </c>
      <c r="AG77" s="4" t="s">
        <v>23</v>
      </c>
      <c r="AH77" s="4" t="s">
        <v>23</v>
      </c>
      <c r="AK77" s="4" t="n">
        <f aca="false">COUNTIF(Q77:Z77,"+")</f>
        <v>0</v>
      </c>
      <c r="AL77" s="4" t="n">
        <f aca="false">COUNTIF(AA77:AJ77,"+")</f>
        <v>4</v>
      </c>
    </row>
    <row r="78" customFormat="false" ht="15.75" hidden="false" customHeight="false" outlineLevel="0" collapsed="false">
      <c r="A78" s="6" t="n">
        <f aca="false">Parse!A89</f>
        <v>42874.77098</v>
      </c>
      <c r="B78" s="19" t="str">
        <f aca="false">Parse!B89</f>
        <v>Долгова</v>
      </c>
      <c r="C78" s="0" t="str">
        <f aca="false">Parse!C89</f>
        <v>Анна</v>
      </c>
      <c r="D78" s="0" t="n">
        <f aca="false">Parse!D89</f>
        <v>7</v>
      </c>
      <c r="E78" s="0" t="str">
        <f aca="false">Parse!E89</f>
        <v>БОУ ОО "МОЦРО #117"</v>
      </c>
      <c r="F78" s="0" t="n">
        <f aca="false">Parse!F89</f>
        <v>0</v>
      </c>
      <c r="G78" s="8" t="str">
        <f aca="false">IFERROR(MID(Parse!G89,SEARCH("vk.com",Parse!G89),LEN(Parse!G89)),Parse!G89)</f>
        <v>vk.com/anna_dolgova2004</v>
      </c>
      <c r="H78" s="0" t="str">
        <f aca="false">Parse!H89</f>
        <v>anna.dolgova.2004@mail.ru</v>
      </c>
      <c r="I78" s="0" t="str">
        <f aca="false">VLOOKUP(Parse!I89,$M$1:$N$11,2,FALSE())</f>
        <v>Испанский</v>
      </c>
      <c r="J78" s="0" t="str">
        <f aca="false">VLOOKUP(Parse!J89,$M$1:$N$11,2,FALSE())</f>
        <v>Программирование(Шульга)</v>
      </c>
      <c r="K78" s="4" t="n">
        <v>2</v>
      </c>
      <c r="Q78" s="4" t="s">
        <v>21</v>
      </c>
      <c r="R78" s="4" t="s">
        <v>21</v>
      </c>
      <c r="S78" s="4" t="s">
        <v>21</v>
      </c>
      <c r="T78" s="4" t="s">
        <v>21</v>
      </c>
      <c r="U78" s="4" t="s">
        <v>21</v>
      </c>
      <c r="V78" s="4" t="s">
        <v>21</v>
      </c>
      <c r="W78" s="4" t="s">
        <v>21</v>
      </c>
      <c r="X78" s="4" t="s">
        <v>21</v>
      </c>
      <c r="Y78" s="4" t="s">
        <v>21</v>
      </c>
      <c r="Z78" s="4" t="s">
        <v>21</v>
      </c>
      <c r="AA78" s="4" t="s">
        <v>21</v>
      </c>
      <c r="AB78" s="4" t="s">
        <v>21</v>
      </c>
      <c r="AC78" s="4" t="s">
        <v>21</v>
      </c>
      <c r="AD78" s="4" t="s">
        <v>21</v>
      </c>
      <c r="AE78" s="4" t="s">
        <v>21</v>
      </c>
      <c r="AF78" s="4" t="s">
        <v>21</v>
      </c>
      <c r="AG78" s="4" t="s">
        <v>21</v>
      </c>
      <c r="AH78" s="4" t="s">
        <v>21</v>
      </c>
      <c r="AI78" s="4" t="s">
        <v>21</v>
      </c>
      <c r="AJ78" s="4" t="s">
        <v>21</v>
      </c>
      <c r="AK78" s="4" t="n">
        <f aca="false">COUNTIF(Q78:Z78,"+")</f>
        <v>10</v>
      </c>
      <c r="AL78" s="4" t="n">
        <f aca="false">COUNTIF(AA78:AJ78,"+")</f>
        <v>10</v>
      </c>
    </row>
    <row r="79" customFormat="false" ht="15.75" hidden="false" customHeight="false" outlineLevel="0" collapsed="false">
      <c r="A79" s="6" t="n">
        <f aca="false">Parse!A93</f>
        <v>42876.71356</v>
      </c>
      <c r="B79" s="0" t="str">
        <f aca="false">Parse!B93</f>
        <v>Поркулевич</v>
      </c>
      <c r="C79" s="0" t="str">
        <f aca="false">Parse!C93</f>
        <v>Семён</v>
      </c>
      <c r="D79" s="0" t="n">
        <f aca="false">Parse!D93</f>
        <v>9</v>
      </c>
      <c r="E79" s="0" t="n">
        <f aca="false">Parse!E93</f>
        <v>64</v>
      </c>
      <c r="F79" s="0" t="n">
        <f aca="false">Parse!F93</f>
        <v>0</v>
      </c>
      <c r="G79" s="8" t="str">
        <f aca="false">IFERROR(MID(Parse!G93,SEARCH("vk.com",Parse!G93),LEN(Parse!G93)),Parse!G93)</f>
        <v>vk.com/id153731120</v>
      </c>
      <c r="H79" s="0" t="str">
        <f aca="false">Parse!H93</f>
        <v>Ctvty0604@mail.ru</v>
      </c>
      <c r="I79" s="0" t="str">
        <f aca="false">VLOOKUP(Parse!I93,$M$1:$N$11,2,FALSE())</f>
        <v>Биоинформатика</v>
      </c>
      <c r="J79" s="0" t="str">
        <f aca="false">VLOOKUP(Parse!J93,$M$1:$N$11,2,FALSE())</f>
        <v>Программирование(Шульга)</v>
      </c>
      <c r="K79" s="4" t="n">
        <v>2</v>
      </c>
      <c r="Q79" s="4" t="s">
        <v>23</v>
      </c>
      <c r="R79" s="4" t="s">
        <v>23</v>
      </c>
      <c r="S79" s="4" t="s">
        <v>21</v>
      </c>
      <c r="T79" s="4" t="s">
        <v>21</v>
      </c>
      <c r="U79" s="4" t="s">
        <v>21</v>
      </c>
      <c r="V79" s="4" t="s">
        <v>21</v>
      </c>
      <c r="W79" s="4" t="s">
        <v>21</v>
      </c>
      <c r="X79" s="4" t="s">
        <v>21</v>
      </c>
      <c r="Y79" s="4" t="s">
        <v>21</v>
      </c>
      <c r="Z79" s="4" t="s">
        <v>21</v>
      </c>
      <c r="AA79" s="4" t="s">
        <v>23</v>
      </c>
      <c r="AB79" s="4" t="s">
        <v>23</v>
      </c>
      <c r="AC79" s="4" t="s">
        <v>23</v>
      </c>
      <c r="AD79" s="4" t="s">
        <v>23</v>
      </c>
      <c r="AE79" s="4" t="s">
        <v>23</v>
      </c>
      <c r="AF79" s="4" t="s">
        <v>23</v>
      </c>
      <c r="AG79" s="4" t="s">
        <v>23</v>
      </c>
      <c r="AH79" s="4" t="s">
        <v>23</v>
      </c>
      <c r="AI79" s="4" t="s">
        <v>23</v>
      </c>
      <c r="AJ79" s="4" t="s">
        <v>23</v>
      </c>
      <c r="AK79" s="4" t="n">
        <f aca="false">COUNTIF(Q79:Z79,"+")</f>
        <v>8</v>
      </c>
      <c r="AL79" s="4" t="n">
        <f aca="false">COUNTIF(AA79:AJ79,"+")</f>
        <v>0</v>
      </c>
    </row>
    <row r="80" customFormat="false" ht="15.75" hidden="false" customHeight="false" outlineLevel="0" collapsed="false">
      <c r="A80" s="6" t="n">
        <f aca="false">Parse!A95</f>
        <v>42876.92746</v>
      </c>
      <c r="B80" s="17" t="str">
        <f aca="false">Parse!B95</f>
        <v>Веретенников</v>
      </c>
      <c r="C80" s="0" t="str">
        <f aca="false">Parse!C95</f>
        <v>Алексей</v>
      </c>
      <c r="D80" s="0" t="n">
        <f aca="false">Parse!D95</f>
        <v>9</v>
      </c>
      <c r="E80" s="0" t="str">
        <f aca="false">Parse!E95</f>
        <v>Лицей #64</v>
      </c>
      <c r="F80" s="0" t="str">
        <f aca="false">Parse!F95</f>
        <v>17 часла у мамы день рождения - могу частично пропустить)</v>
      </c>
      <c r="G80" s="8" t="str">
        <f aca="false">IFERROR(MID(Parse!G95,SEARCH("vk.com",Parse!G95),LEN(Parse!G95)),Parse!G95)</f>
        <v>vk.com/demenkovalexey</v>
      </c>
      <c r="H80" s="0" t="str">
        <f aca="false">Parse!H95</f>
        <v>veretennikov.a01@mail.ru</v>
      </c>
      <c r="I80" s="0" t="str">
        <f aca="false">VLOOKUP(Parse!I95,$M$1:$N$11,2,FALSE())</f>
        <v>Физика(Рутберг)</v>
      </c>
      <c r="J80" s="0" t="str">
        <f aca="false">VLOOKUP(Parse!J95,$M$1:$N$11,2,FALSE())</f>
        <v>Испанский</v>
      </c>
      <c r="K80" s="4" t="n">
        <v>2</v>
      </c>
      <c r="Q80" s="4" t="s">
        <v>21</v>
      </c>
      <c r="R80" s="4" t="s">
        <v>21</v>
      </c>
      <c r="S80" s="4" t="s">
        <v>21</v>
      </c>
      <c r="T80" s="4" t="s">
        <v>21</v>
      </c>
      <c r="U80" s="4" t="s">
        <v>21</v>
      </c>
      <c r="V80" s="4" t="s">
        <v>21</v>
      </c>
      <c r="W80" s="4" t="s">
        <v>21</v>
      </c>
      <c r="X80" s="4" t="s">
        <v>21</v>
      </c>
      <c r="Y80" s="4" t="s">
        <v>21</v>
      </c>
      <c r="Z80" s="4" t="s">
        <v>21</v>
      </c>
      <c r="AA80" s="4" t="s">
        <v>21</v>
      </c>
      <c r="AB80" s="4" t="s">
        <v>21</v>
      </c>
      <c r="AC80" s="4" t="s">
        <v>21</v>
      </c>
      <c r="AD80" s="4" t="s">
        <v>21</v>
      </c>
      <c r="AE80" s="4" t="s">
        <v>21</v>
      </c>
      <c r="AF80" s="4" t="s">
        <v>21</v>
      </c>
      <c r="AG80" s="4" t="s">
        <v>21</v>
      </c>
      <c r="AH80" s="4" t="s">
        <v>21</v>
      </c>
      <c r="AI80" s="4" t="s">
        <v>21</v>
      </c>
      <c r="AJ80" s="4" t="s">
        <v>21</v>
      </c>
      <c r="AK80" s="4" t="n">
        <f aca="false">COUNTIF(Q80:Z80,"+")</f>
        <v>10</v>
      </c>
      <c r="AL80" s="4" t="n">
        <f aca="false">COUNTIF(AA80:AJ80,"+")</f>
        <v>10</v>
      </c>
    </row>
    <row r="81" customFormat="false" ht="15.75" hidden="false" customHeight="false" outlineLevel="0" collapsed="false">
      <c r="A81" s="6" t="n">
        <f aca="false">Parse!A96</f>
        <v>42877.63246</v>
      </c>
      <c r="B81" s="20" t="str">
        <f aca="false">Parse!B96</f>
        <v>Рудских</v>
      </c>
      <c r="C81" s="0" t="str">
        <f aca="false">Parse!C96</f>
        <v>Дмитрий</v>
      </c>
      <c r="D81" s="0" t="n">
        <f aca="false">Parse!D96</f>
        <v>10</v>
      </c>
      <c r="E81" s="0" t="str">
        <f aca="false">Parse!E96</f>
        <v>64 лицей</v>
      </c>
      <c r="F81" s="0" t="n">
        <f aca="false">Parse!F96</f>
        <v>0</v>
      </c>
      <c r="G81" s="8" t="str">
        <f aca="false">IFERROR(MID(Parse!G96,SEARCH("vk.com",Parse!G96),LEN(Parse!G96)),Parse!G96)</f>
        <v>vk.com/d.rudskikh</v>
      </c>
      <c r="H81" s="0" t="str">
        <f aca="false">Parse!H96</f>
        <v>rudskihda@gmail.com</v>
      </c>
      <c r="I81" s="0" t="str">
        <f aca="false">VLOOKUP(Parse!I96,$M$1:$N$11,2,FALSE())</f>
        <v>Программирование(Шульга)</v>
      </c>
      <c r="J81" s="0" t="str">
        <f aca="false">VLOOKUP(Parse!J96,$M$1:$N$11,2,FALSE())</f>
        <v>Экономика</v>
      </c>
      <c r="K81" s="4" t="n">
        <v>2</v>
      </c>
      <c r="Q81" s="4" t="s">
        <v>21</v>
      </c>
      <c r="R81" s="4" t="s">
        <v>21</v>
      </c>
      <c r="S81" s="4" t="s">
        <v>21</v>
      </c>
      <c r="T81" s="4" t="s">
        <v>21</v>
      </c>
      <c r="U81" s="4" t="s">
        <v>21</v>
      </c>
      <c r="V81" s="4" t="s">
        <v>21</v>
      </c>
      <c r="W81" s="4" t="s">
        <v>21</v>
      </c>
      <c r="X81" s="4" t="s">
        <v>21</v>
      </c>
      <c r="Y81" s="4" t="s">
        <v>21</v>
      </c>
      <c r="Z81" s="4" t="s">
        <v>21</v>
      </c>
      <c r="AA81" s="4" t="s">
        <v>21</v>
      </c>
      <c r="AB81" s="4" t="s">
        <v>21</v>
      </c>
      <c r="AC81" s="4" t="s">
        <v>21</v>
      </c>
      <c r="AD81" s="4" t="s">
        <v>21</v>
      </c>
      <c r="AE81" s="4" t="s">
        <v>21</v>
      </c>
      <c r="AF81" s="4" t="s">
        <v>21</v>
      </c>
      <c r="AG81" s="4" t="s">
        <v>21</v>
      </c>
      <c r="AH81" s="4" t="s">
        <v>21</v>
      </c>
      <c r="AI81" s="4" t="s">
        <v>21</v>
      </c>
      <c r="AJ81" s="4" t="s">
        <v>21</v>
      </c>
      <c r="AK81" s="4" t="n">
        <f aca="false">COUNTIF(Q81:Z81,"+")</f>
        <v>10</v>
      </c>
      <c r="AL81" s="4" t="n">
        <f aca="false">COUNTIF(AA81:AJ81,"+")</f>
        <v>10</v>
      </c>
    </row>
    <row r="82" customFormat="false" ht="15.75" hidden="false" customHeight="false" outlineLevel="0" collapsed="false">
      <c r="A82" s="6" t="n">
        <f aca="false">Parse!A97</f>
        <v>42877.65144</v>
      </c>
      <c r="B82" s="0" t="str">
        <f aca="false">Parse!B97</f>
        <v>Целиков</v>
      </c>
      <c r="C82" s="0" t="str">
        <f aca="false">Parse!C97</f>
        <v>Иван</v>
      </c>
      <c r="D82" s="0" t="n">
        <f aca="false">Parse!D97</f>
        <v>7</v>
      </c>
      <c r="E82" s="0" t="n">
        <f aca="false">Parse!E97</f>
        <v>117</v>
      </c>
      <c r="F82" s="0" t="n">
        <f aca="false">Parse!F97</f>
        <v>0</v>
      </c>
      <c r="G82" s="8" t="str">
        <f aca="false">IFERROR(MID(Parse!G97,SEARCH("vk.com",Parse!G97),LEN(Parse!G97)),Parse!G97)</f>
        <v>vk.com/id179533793</v>
      </c>
      <c r="H82" s="0" t="str">
        <f aca="false">Parse!H97</f>
        <v>tselikov_2004@mail.ru</v>
      </c>
      <c r="I82" s="0" t="str">
        <f aca="false">VLOOKUP(Parse!I97,$M$1:$N$11,2,FALSE())</f>
        <v>Программирование(Шульга)</v>
      </c>
      <c r="J82" s="0" t="str">
        <f aca="false">VLOOKUP(Parse!J97,$M$1:$N$11,2,FALSE())</f>
        <v>Физика(Рутберг)</v>
      </c>
      <c r="K82" s="4" t="n">
        <v>1</v>
      </c>
      <c r="L82" s="4" t="s">
        <v>36</v>
      </c>
      <c r="Q82" s="4" t="s">
        <v>23</v>
      </c>
      <c r="R82" s="4" t="s">
        <v>23</v>
      </c>
      <c r="S82" s="4" t="s">
        <v>23</v>
      </c>
      <c r="T82" s="4" t="s">
        <v>23</v>
      </c>
      <c r="U82" s="4" t="s">
        <v>23</v>
      </c>
      <c r="V82" s="4" t="s">
        <v>23</v>
      </c>
      <c r="W82" s="4" t="s">
        <v>23</v>
      </c>
      <c r="X82" s="4" t="s">
        <v>23</v>
      </c>
      <c r="Y82" s="4" t="s">
        <v>23</v>
      </c>
      <c r="Z82" s="4" t="s">
        <v>23</v>
      </c>
      <c r="AA82" s="4" t="s">
        <v>23</v>
      </c>
      <c r="AB82" s="4" t="s">
        <v>23</v>
      </c>
      <c r="AC82" s="4" t="s">
        <v>23</v>
      </c>
      <c r="AD82" s="4" t="s">
        <v>23</v>
      </c>
      <c r="AE82" s="4" t="s">
        <v>23</v>
      </c>
      <c r="AF82" s="4" t="s">
        <v>23</v>
      </c>
      <c r="AG82" s="4" t="s">
        <v>23</v>
      </c>
      <c r="AH82" s="4" t="s">
        <v>23</v>
      </c>
      <c r="AI82" s="4" t="s">
        <v>23</v>
      </c>
      <c r="AJ82" s="4" t="s">
        <v>23</v>
      </c>
      <c r="AK82" s="4" t="n">
        <f aca="false">COUNTIF(Q82:Z82,"+")</f>
        <v>0</v>
      </c>
      <c r="AL82" s="4" t="n">
        <f aca="false">COUNTIF(AA82:AJ82,"+")</f>
        <v>0</v>
      </c>
    </row>
    <row r="83" customFormat="false" ht="15.75" hidden="false" customHeight="false" outlineLevel="0" collapsed="false">
      <c r="A83" s="6" t="n">
        <f aca="false">Parse!A98</f>
        <v>42877.79178</v>
      </c>
      <c r="B83" s="17" t="str">
        <f aca="false">Parse!B98</f>
        <v>Гричкоедова</v>
      </c>
      <c r="C83" s="0" t="str">
        <f aca="false">Parse!C98</f>
        <v>Анастасия</v>
      </c>
      <c r="D83" s="0" t="n">
        <f aca="false">Parse!D98</f>
        <v>8</v>
      </c>
      <c r="E83" s="0" t="str">
        <f aca="false">Parse!E98</f>
        <v>БОУ Лицей №149</v>
      </c>
      <c r="F83" s="0" t="n">
        <f aca="false">Parse!F98</f>
        <v>0</v>
      </c>
      <c r="G83" s="8" t="str">
        <f aca="false">IFERROR(MID(Parse!G98,SEARCH("vk.com",Parse!G98),LEN(Parse!G98)),Parse!G98)</f>
        <v>vk.com/grichkoedova</v>
      </c>
      <c r="H83" s="0" t="str">
        <f aca="false">Parse!H98</f>
        <v>grichkoedova@yandex.ru</v>
      </c>
      <c r="I83" s="0" t="str">
        <f aca="false">VLOOKUP(Parse!I98,$M$1:$N$11,2,FALSE())</f>
        <v>Математика(Кудык)</v>
      </c>
      <c r="J83" s="0" t="str">
        <f aca="false">VLOOKUP(Parse!J98,$M$1:$N$11,2,FALSE())</f>
        <v>Испанский</v>
      </c>
      <c r="K83" s="4" t="n">
        <v>2</v>
      </c>
      <c r="Q83" s="4" t="s">
        <v>21</v>
      </c>
      <c r="R83" s="4" t="s">
        <v>21</v>
      </c>
      <c r="S83" s="4" t="s">
        <v>21</v>
      </c>
      <c r="T83" s="4" t="s">
        <v>21</v>
      </c>
      <c r="U83" s="4" t="s">
        <v>21</v>
      </c>
      <c r="V83" s="4" t="s">
        <v>21</v>
      </c>
      <c r="W83" s="4" t="s">
        <v>21</v>
      </c>
      <c r="X83" s="4" t="s">
        <v>21</v>
      </c>
      <c r="Y83" s="4" t="s">
        <v>23</v>
      </c>
      <c r="Z83" s="4" t="s">
        <v>23</v>
      </c>
      <c r="AA83" s="4" t="s">
        <v>21</v>
      </c>
      <c r="AB83" s="4" t="s">
        <v>21</v>
      </c>
      <c r="AC83" s="4" t="s">
        <v>21</v>
      </c>
      <c r="AD83" s="4" t="s">
        <v>21</v>
      </c>
      <c r="AE83" s="4" t="s">
        <v>21</v>
      </c>
      <c r="AF83" s="4" t="s">
        <v>21</v>
      </c>
      <c r="AG83" s="4" t="s">
        <v>21</v>
      </c>
      <c r="AH83" s="4" t="s">
        <v>21</v>
      </c>
      <c r="AI83" s="4" t="s">
        <v>21</v>
      </c>
      <c r="AJ83" s="4" t="s">
        <v>21</v>
      </c>
      <c r="AK83" s="4" t="n">
        <f aca="false">COUNTIF(Q83:Z83,"+")</f>
        <v>8</v>
      </c>
      <c r="AL83" s="4" t="n">
        <f aca="false">COUNTIF(AA83:AJ83,"+")</f>
        <v>10</v>
      </c>
    </row>
    <row r="84" customFormat="false" ht="15.75" hidden="false" customHeight="false" outlineLevel="0" collapsed="false">
      <c r="A84" s="6" t="n">
        <f aca="false">Parse!A99</f>
        <v>42878.35594</v>
      </c>
      <c r="B84" s="17" t="str">
        <f aca="false">Parse!B99</f>
        <v>Рогова</v>
      </c>
      <c r="C84" s="0" t="str">
        <f aca="false">Parse!C99</f>
        <v>Юлия</v>
      </c>
      <c r="D84" s="0" t="n">
        <f aca="false">Parse!D99</f>
        <v>10</v>
      </c>
      <c r="E84" s="0" t="str">
        <f aca="false">Parse!E99</f>
        <v>БОУ ОО "МОЦРО 117"</v>
      </c>
      <c r="F84" s="0" t="n">
        <f aca="false">Parse!F99</f>
        <v>0</v>
      </c>
      <c r="G84" s="8" t="str">
        <f aca="false">IFERROR(MID(Parse!G99,SEARCH("vk.com",Parse!G99),LEN(Parse!G99)),Parse!G99)</f>
        <v>vk.com/juliarrrrrx</v>
      </c>
      <c r="H84" s="0" t="str">
        <f aca="false">Parse!H99</f>
        <v>Www.89514263078.ru@mail.ru</v>
      </c>
      <c r="I84" s="0" t="str">
        <f aca="false">VLOOKUP(Parse!I99,$M$1:$N$11,2,FALSE())</f>
        <v>Право</v>
      </c>
      <c r="J84" s="0" t="str">
        <f aca="false">VLOOKUP(Parse!J99,$M$1:$N$11,2,FALSE())</f>
        <v>Испанский</v>
      </c>
      <c r="K84" s="4" t="n">
        <v>2</v>
      </c>
      <c r="Q84" s="4" t="s">
        <v>21</v>
      </c>
      <c r="R84" s="4" t="s">
        <v>21</v>
      </c>
      <c r="S84" s="4" t="s">
        <v>21</v>
      </c>
      <c r="T84" s="4" t="s">
        <v>21</v>
      </c>
      <c r="U84" s="4" t="s">
        <v>21</v>
      </c>
      <c r="V84" s="4" t="s">
        <v>21</v>
      </c>
      <c r="W84" s="4" t="s">
        <v>21</v>
      </c>
      <c r="X84" s="4" t="s">
        <v>21</v>
      </c>
      <c r="Y84" s="4" t="s">
        <v>21</v>
      </c>
      <c r="Z84" s="4" t="s">
        <v>21</v>
      </c>
      <c r="AA84" s="4" t="s">
        <v>21</v>
      </c>
      <c r="AB84" s="4" t="s">
        <v>21</v>
      </c>
      <c r="AC84" s="4" t="s">
        <v>21</v>
      </c>
      <c r="AD84" s="4" t="s">
        <v>21</v>
      </c>
      <c r="AE84" s="4" t="s">
        <v>21</v>
      </c>
      <c r="AF84" s="4" t="s">
        <v>21</v>
      </c>
      <c r="AG84" s="4" t="s">
        <v>21</v>
      </c>
      <c r="AH84" s="4" t="s">
        <v>21</v>
      </c>
      <c r="AI84" s="4" t="s">
        <v>21</v>
      </c>
      <c r="AJ84" s="4" t="s">
        <v>21</v>
      </c>
      <c r="AK84" s="4" t="n">
        <f aca="false">COUNTIF(Q84:Z84,"+")</f>
        <v>10</v>
      </c>
      <c r="AL84" s="4" t="n">
        <f aca="false">COUNTIF(AA84:AJ84,"+")</f>
        <v>10</v>
      </c>
    </row>
    <row r="85" customFormat="false" ht="15.75" hidden="false" customHeight="false" outlineLevel="0" collapsed="false">
      <c r="A85" s="6" t="n">
        <f aca="false">Parse!A100</f>
        <v>42879.73492</v>
      </c>
      <c r="B85" s="19" t="str">
        <f aca="false">Parse!B100</f>
        <v>Мороз</v>
      </c>
      <c r="C85" s="0" t="str">
        <f aca="false">Parse!C100</f>
        <v>Семён</v>
      </c>
      <c r="D85" s="0" t="n">
        <f aca="false">Parse!D100</f>
        <v>7</v>
      </c>
      <c r="E85" s="0" t="n">
        <f aca="false">Parse!E100</f>
        <v>117</v>
      </c>
      <c r="F85" s="0" t="n">
        <f aca="false">Parse!F100</f>
        <v>0</v>
      </c>
      <c r="G85" s="0" t="str">
        <f aca="false">IFERROR(MID(Parse!G100,SEARCH("vk.com",Parse!G100),LEN(Parse!G100)),Parse!G100)</f>
        <v>нет</v>
      </c>
      <c r="H85" s="0" t="str">
        <f aca="false">Parse!H100</f>
        <v>semenische@icloud.com</v>
      </c>
      <c r="I85" s="0" t="str">
        <f aca="false">VLOOKUP(Parse!I100,$M$1:$N$11,2,FALSE())</f>
        <v>Физика(Рутберг)</v>
      </c>
      <c r="J85" s="0" t="str">
        <f aca="false">VLOOKUP(Parse!J100,$M$1:$N$11,2,FALSE())</f>
        <v>Экономика</v>
      </c>
      <c r="K85" s="4" t="n">
        <v>1</v>
      </c>
      <c r="Q85" s="4" t="s">
        <v>21</v>
      </c>
      <c r="R85" s="4" t="s">
        <v>21</v>
      </c>
      <c r="S85" s="4" t="s">
        <v>21</v>
      </c>
      <c r="T85" s="4" t="s">
        <v>21</v>
      </c>
      <c r="U85" s="4" t="s">
        <v>21</v>
      </c>
      <c r="V85" s="4" t="s">
        <v>21</v>
      </c>
      <c r="W85" s="4" t="s">
        <v>21</v>
      </c>
      <c r="X85" s="4" t="s">
        <v>23</v>
      </c>
      <c r="Y85" s="4" t="s">
        <v>21</v>
      </c>
      <c r="Z85" s="4" t="s">
        <v>21</v>
      </c>
      <c r="AA85" s="4" t="s">
        <v>21</v>
      </c>
      <c r="AB85" s="4" t="s">
        <v>21</v>
      </c>
      <c r="AC85" s="4" t="s">
        <v>21</v>
      </c>
      <c r="AD85" s="4" t="s">
        <v>21</v>
      </c>
      <c r="AE85" s="4" t="s">
        <v>21</v>
      </c>
      <c r="AF85" s="4" t="s">
        <v>21</v>
      </c>
      <c r="AG85" s="4" t="s">
        <v>21</v>
      </c>
      <c r="AH85" s="4" t="s">
        <v>21</v>
      </c>
      <c r="AI85" s="4" t="s">
        <v>21</v>
      </c>
      <c r="AJ85" s="4" t="s">
        <v>21</v>
      </c>
      <c r="AK85" s="4" t="n">
        <f aca="false">COUNTIF(Q85:Z85,"+")</f>
        <v>9</v>
      </c>
      <c r="AL85" s="4" t="n">
        <f aca="false">COUNTIF(AA85:AJ85,"+")</f>
        <v>10</v>
      </c>
    </row>
    <row r="86" customFormat="false" ht="15.75" hidden="false" customHeight="false" outlineLevel="0" collapsed="false">
      <c r="A86" s="6" t="n">
        <f aca="false">Parse!A102</f>
        <v>42881.57402</v>
      </c>
      <c r="B86" s="0" t="str">
        <f aca="false">Parse!B102</f>
        <v>Васянович</v>
      </c>
      <c r="C86" s="0" t="str">
        <f aca="false">Parse!C102</f>
        <v>Артём</v>
      </c>
      <c r="D86" s="0" t="n">
        <f aca="false">Parse!D102</f>
        <v>10</v>
      </c>
      <c r="E86" s="0" t="str">
        <f aca="false">Parse!E102</f>
        <v>Лицей №54</v>
      </c>
      <c r="F86" s="0" t="n">
        <f aca="false">Parse!F102</f>
        <v>0</v>
      </c>
      <c r="G86" s="8" t="str">
        <f aca="false">IFERROR(MID(Parse!G102,SEARCH("vk.com",Parse!G102),LEN(Parse!G102)),Parse!G102)</f>
        <v>vk.com/science_tk</v>
      </c>
      <c r="H86" s="0" t="str">
        <f aca="false">Parse!H102</f>
        <v>vasyanovichartem@gmail.com</v>
      </c>
      <c r="I86" s="0" t="str">
        <f aca="false">VLOOKUP(Parse!I102,$M$1:$N$11,2,FALSE())</f>
        <v>Физика(Рутберг)</v>
      </c>
      <c r="J86" s="0" t="str">
        <f aca="false">VLOOKUP(Parse!J102,$M$1:$N$11,2,FALSE())</f>
        <v>Математика(Кудык)</v>
      </c>
      <c r="K86" s="4" t="n">
        <v>2</v>
      </c>
      <c r="Q86" s="4" t="s">
        <v>23</v>
      </c>
      <c r="R86" s="4" t="s">
        <v>23</v>
      </c>
      <c r="S86" s="4" t="s">
        <v>23</v>
      </c>
      <c r="T86" s="4" t="s">
        <v>23</v>
      </c>
      <c r="U86" s="4" t="s">
        <v>23</v>
      </c>
      <c r="V86" s="4" t="s">
        <v>23</v>
      </c>
      <c r="W86" s="4" t="s">
        <v>23</v>
      </c>
      <c r="X86" s="4" t="s">
        <v>23</v>
      </c>
      <c r="Y86" s="4" t="s">
        <v>23</v>
      </c>
      <c r="Z86" s="4" t="s">
        <v>23</v>
      </c>
      <c r="AA86" s="4" t="s">
        <v>23</v>
      </c>
      <c r="AB86" s="4" t="s">
        <v>23</v>
      </c>
      <c r="AC86" s="4" t="s">
        <v>23</v>
      </c>
      <c r="AD86" s="4" t="s">
        <v>23</v>
      </c>
      <c r="AE86" s="4" t="s">
        <v>23</v>
      </c>
      <c r="AF86" s="4" t="s">
        <v>23</v>
      </c>
      <c r="AG86" s="4" t="s">
        <v>23</v>
      </c>
      <c r="AH86" s="4" t="s">
        <v>23</v>
      </c>
      <c r="AK86" s="4" t="n">
        <f aca="false">COUNTIF(Q86:Z86,"+")</f>
        <v>0</v>
      </c>
      <c r="AL86" s="4" t="n">
        <f aca="false">COUNTIF(AA86:AJ86,"+")</f>
        <v>0</v>
      </c>
    </row>
    <row r="87" customFormat="false" ht="15.75" hidden="false" customHeight="false" outlineLevel="0" collapsed="false">
      <c r="A87" s="6" t="n">
        <f aca="false">Parse!A103</f>
        <v>42882.36983</v>
      </c>
      <c r="B87" s="0" t="str">
        <f aca="false">Parse!B103</f>
        <v>Бабенко</v>
      </c>
      <c r="C87" s="0" t="str">
        <f aca="false">Parse!C103</f>
        <v>Александр</v>
      </c>
      <c r="D87" s="0" t="n">
        <f aca="false">Parse!D103</f>
        <v>8</v>
      </c>
      <c r="E87" s="0" t="str">
        <f aca="false">Parse!E103</f>
        <v>МОЦРО 117</v>
      </c>
      <c r="F87" s="0" t="n">
        <f aca="false">Parse!F103</f>
        <v>0</v>
      </c>
      <c r="G87" s="8" t="str">
        <f aca="false">IFERROR(MID(Parse!G103,SEARCH("vk.com",Parse!G103),LEN(Parse!G103)),Parse!G103)</f>
        <v>vk.com/id248288690</v>
      </c>
      <c r="H87" s="0" t="str">
        <f aca="false">Parse!H103</f>
        <v>babenko254@gmail.com</v>
      </c>
      <c r="I87" s="0" t="str">
        <f aca="false">VLOOKUP(Parse!I103,$M$1:$N$11,2,FALSE())</f>
        <v>Программирование(Свет)</v>
      </c>
      <c r="J87" s="0" t="str">
        <f aca="false">VLOOKUP(Parse!J103,$M$1:$N$11,2,FALSE())</f>
        <v>Математика(Кудык)</v>
      </c>
      <c r="K87" s="4" t="n">
        <v>2</v>
      </c>
      <c r="Q87" s="4" t="s">
        <v>21</v>
      </c>
      <c r="R87" s="4" t="s">
        <v>21</v>
      </c>
      <c r="S87" s="4" t="s">
        <v>21</v>
      </c>
      <c r="T87" s="4" t="s">
        <v>21</v>
      </c>
      <c r="U87" s="4" t="s">
        <v>23</v>
      </c>
      <c r="V87" s="4" t="s">
        <v>23</v>
      </c>
      <c r="W87" s="4" t="s">
        <v>23</v>
      </c>
      <c r="X87" s="4" t="s">
        <v>23</v>
      </c>
      <c r="Y87" s="4" t="s">
        <v>21</v>
      </c>
      <c r="Z87" s="4" t="s">
        <v>21</v>
      </c>
      <c r="AA87" s="4" t="s">
        <v>21</v>
      </c>
      <c r="AB87" s="4" t="s">
        <v>21</v>
      </c>
      <c r="AC87" s="4" t="s">
        <v>21</v>
      </c>
      <c r="AD87" s="4" t="s">
        <v>21</v>
      </c>
      <c r="AE87" s="4" t="s">
        <v>21</v>
      </c>
      <c r="AF87" s="4" t="s">
        <v>21</v>
      </c>
      <c r="AG87" s="4" t="s">
        <v>21</v>
      </c>
      <c r="AH87" s="4" t="s">
        <v>21</v>
      </c>
      <c r="AK87" s="4" t="n">
        <f aca="false">COUNTIF(Q87:Z87,"+")</f>
        <v>6</v>
      </c>
      <c r="AL87" s="4" t="n">
        <f aca="false">COUNTIF(AA87:AJ87,"+")</f>
        <v>8</v>
      </c>
    </row>
    <row r="88" customFormat="false" ht="15.75" hidden="false" customHeight="false" outlineLevel="0" collapsed="false">
      <c r="A88" s="6" t="n">
        <f aca="false">Parse!A104</f>
        <v>42882.38048</v>
      </c>
      <c r="B88" s="0" t="str">
        <f aca="false">Parse!B104</f>
        <v>Сербин</v>
      </c>
      <c r="C88" s="0" t="str">
        <f aca="false">Parse!C104</f>
        <v>Максим</v>
      </c>
      <c r="D88" s="0" t="n">
        <f aca="false">Parse!D104</f>
        <v>8</v>
      </c>
      <c r="E88" s="0" t="str">
        <f aca="false">Parse!E104</f>
        <v>МОЦРО 117</v>
      </c>
      <c r="F88" s="0" t="n">
        <f aca="false">Parse!F104</f>
        <v>0</v>
      </c>
      <c r="G88" s="8" t="str">
        <f aca="false">IFERROR(MID(Parse!G104,SEARCH("vk.com",Parse!G104),LEN(Parse!G104)),Parse!G104)</f>
        <v>vk.com/id352280379</v>
      </c>
      <c r="H88" s="0" t="str">
        <f aca="false">Parse!H104</f>
        <v>Serbinmax@gmail.com</v>
      </c>
      <c r="I88" s="0" t="str">
        <f aca="false">VLOOKUP(Parse!I104,$M$1:$N$11,2,FALSE())</f>
        <v>Право</v>
      </c>
      <c r="J88" s="0" t="str">
        <f aca="false">VLOOKUP(Parse!J104,$M$1:$N$11,2,FALSE())</f>
        <v>Программирование(Шульга)</v>
      </c>
      <c r="K88" s="4" t="n">
        <v>2</v>
      </c>
      <c r="Q88" s="4" t="s">
        <v>23</v>
      </c>
      <c r="R88" s="4" t="s">
        <v>23</v>
      </c>
      <c r="S88" s="4" t="s">
        <v>23</v>
      </c>
      <c r="T88" s="4" t="s">
        <v>23</v>
      </c>
      <c r="U88" s="4" t="s">
        <v>23</v>
      </c>
      <c r="V88" s="4" t="s">
        <v>23</v>
      </c>
      <c r="W88" s="4" t="s">
        <v>23</v>
      </c>
      <c r="X88" s="4" t="s">
        <v>23</v>
      </c>
      <c r="Y88" s="4" t="s">
        <v>23</v>
      </c>
      <c r="Z88" s="4" t="s">
        <v>23</v>
      </c>
      <c r="AA88" s="4" t="s">
        <v>23</v>
      </c>
      <c r="AB88" s="4" t="s">
        <v>23</v>
      </c>
      <c r="AC88" s="4" t="s">
        <v>23</v>
      </c>
      <c r="AD88" s="4" t="s">
        <v>23</v>
      </c>
      <c r="AE88" s="4" t="s">
        <v>23</v>
      </c>
      <c r="AF88" s="4" t="s">
        <v>23</v>
      </c>
      <c r="AG88" s="4" t="s">
        <v>23</v>
      </c>
      <c r="AH88" s="4" t="s">
        <v>23</v>
      </c>
      <c r="AI88" s="4" t="s">
        <v>23</v>
      </c>
      <c r="AJ88" s="4" t="s">
        <v>23</v>
      </c>
      <c r="AK88" s="4" t="n">
        <f aca="false">COUNTIF(Q88:Z88,"+")</f>
        <v>0</v>
      </c>
      <c r="AL88" s="4" t="n">
        <f aca="false">COUNTIF(AA88:AJ88,"+")</f>
        <v>0</v>
      </c>
    </row>
    <row r="89" customFormat="false" ht="15.75" hidden="false" customHeight="false" outlineLevel="0" collapsed="false">
      <c r="A89" s="6" t="n">
        <f aca="false">Parse!A105</f>
        <v>42882.7838</v>
      </c>
      <c r="B89" s="17" t="str">
        <f aca="false">Parse!B105</f>
        <v>Александрова</v>
      </c>
      <c r="C89" s="0" t="str">
        <f aca="false">Parse!C105</f>
        <v>Валерия</v>
      </c>
      <c r="D89" s="0" t="n">
        <f aca="false">Parse!D105</f>
        <v>10</v>
      </c>
      <c r="E89" s="0" t="str">
        <f aca="false">Parse!E105</f>
        <v>БОУ ОО "МОЦРО 117"</v>
      </c>
      <c r="F89" s="0" t="n">
        <f aca="false">Parse!F105</f>
        <v>0</v>
      </c>
      <c r="G89" s="8" t="str">
        <f aca="false">IFERROR(MID(Parse!G105,SEARCH("vk.com",Parse!G105),LEN(Parse!G105)),Parse!G105)</f>
        <v>vk.com/vlicharovski</v>
      </c>
      <c r="H89" s="0" t="str">
        <f aca="false">Parse!H105</f>
        <v>licharovski@mail.ru</v>
      </c>
      <c r="I89" s="0" t="str">
        <f aca="false">VLOOKUP(Parse!I105,$M$1:$N$11,2,FALSE())</f>
        <v>Право</v>
      </c>
      <c r="J89" s="0" t="str">
        <f aca="false">VLOOKUP(Parse!J105,$M$1:$N$11,2,FALSE())</f>
        <v>Испанский</v>
      </c>
      <c r="K89" s="4" t="n">
        <v>2</v>
      </c>
      <c r="M89" s="4"/>
      <c r="Q89" s="4" t="s">
        <v>23</v>
      </c>
      <c r="R89" s="4" t="s">
        <v>23</v>
      </c>
      <c r="S89" s="4" t="s">
        <v>23</v>
      </c>
      <c r="T89" s="4" t="s">
        <v>23</v>
      </c>
      <c r="U89" s="4" t="s">
        <v>21</v>
      </c>
      <c r="V89" s="4" t="s">
        <v>21</v>
      </c>
      <c r="W89" s="4" t="s">
        <v>21</v>
      </c>
      <c r="X89" s="4" t="s">
        <v>21</v>
      </c>
      <c r="Y89" s="4" t="s">
        <v>21</v>
      </c>
      <c r="Z89" s="4" t="s">
        <v>21</v>
      </c>
      <c r="AA89" s="4" t="s">
        <v>21</v>
      </c>
      <c r="AB89" s="4" t="s">
        <v>21</v>
      </c>
      <c r="AC89" s="4" t="s">
        <v>21</v>
      </c>
      <c r="AD89" s="4" t="s">
        <v>21</v>
      </c>
      <c r="AE89" s="4" t="s">
        <v>23</v>
      </c>
      <c r="AF89" s="4" t="s">
        <v>23</v>
      </c>
      <c r="AG89" s="4" t="s">
        <v>21</v>
      </c>
      <c r="AH89" s="4" t="s">
        <v>21</v>
      </c>
      <c r="AI89" s="4" t="s">
        <v>21</v>
      </c>
      <c r="AJ89" s="4" t="s">
        <v>21</v>
      </c>
      <c r="AK89" s="4" t="n">
        <f aca="false">COUNTIF(Q89:Z89,"+")</f>
        <v>6</v>
      </c>
      <c r="AL89" s="4" t="n">
        <f aca="false">COUNTIF(AA89:AJ89,"+")</f>
        <v>8</v>
      </c>
    </row>
    <row r="90" customFormat="false" ht="15.75" hidden="false" customHeight="false" outlineLevel="0" collapsed="false">
      <c r="A90" s="6" t="n">
        <f aca="false">Parse!A106</f>
        <v>42882.82838</v>
      </c>
      <c r="B90" s="19" t="str">
        <f aca="false">Parse!B106</f>
        <v>Зольников</v>
      </c>
      <c r="C90" s="0" t="str">
        <f aca="false">Parse!C106</f>
        <v>Андрей</v>
      </c>
      <c r="D90" s="0" t="n">
        <f aca="false">Parse!D106</f>
        <v>10</v>
      </c>
      <c r="E90" s="0" t="str">
        <f aca="false">Parse!E106</f>
        <v>БОУ ОО "МОЦРО №117"</v>
      </c>
      <c r="F90" s="0" t="n">
        <f aca="false">Parse!F106</f>
        <v>0</v>
      </c>
      <c r="G90" s="8" t="str">
        <f aca="false">IFERROR(MID(Parse!G106,SEARCH("vk.com",Parse!G106),LEN(Parse!G106)),Parse!G106)</f>
        <v>vk.com/andrezolnikov</v>
      </c>
      <c r="H90" s="0" t="str">
        <f aca="false">Parse!H106</f>
        <v>zolnikov00@ya.ru</v>
      </c>
      <c r="I90" s="0" t="str">
        <f aca="false">VLOOKUP(Parse!I106,$M$1:$N$11,2,FALSE())</f>
        <v>Испанский</v>
      </c>
      <c r="J90" s="0" t="str">
        <f aca="false">VLOOKUP(Parse!J106,$M$1:$N$11,2,FALSE())</f>
        <v>Экономика</v>
      </c>
      <c r="K90" s="4" t="n">
        <v>2</v>
      </c>
      <c r="Q90" s="4" t="s">
        <v>21</v>
      </c>
      <c r="R90" s="4" t="s">
        <v>21</v>
      </c>
      <c r="S90" s="4" t="s">
        <v>21</v>
      </c>
      <c r="T90" s="4" t="s">
        <v>21</v>
      </c>
      <c r="U90" s="4" t="s">
        <v>21</v>
      </c>
      <c r="V90" s="4" t="s">
        <v>21</v>
      </c>
      <c r="W90" s="4" t="s">
        <v>21</v>
      </c>
      <c r="X90" s="4" t="s">
        <v>21</v>
      </c>
      <c r="Y90" s="4" t="s">
        <v>21</v>
      </c>
      <c r="Z90" s="4" t="s">
        <v>21</v>
      </c>
      <c r="AA90" s="4" t="s">
        <v>21</v>
      </c>
      <c r="AB90" s="4" t="s">
        <v>21</v>
      </c>
      <c r="AC90" s="4" t="s">
        <v>23</v>
      </c>
      <c r="AD90" s="4" t="s">
        <v>23</v>
      </c>
      <c r="AE90" s="4" t="s">
        <v>21</v>
      </c>
      <c r="AF90" s="4" t="s">
        <v>21</v>
      </c>
      <c r="AG90" s="4" t="s">
        <v>21</v>
      </c>
      <c r="AH90" s="4" t="s">
        <v>21</v>
      </c>
      <c r="AI90" s="4" t="s">
        <v>21</v>
      </c>
      <c r="AJ90" s="4" t="s">
        <v>21</v>
      </c>
      <c r="AK90" s="4" t="n">
        <f aca="false">COUNTIF(Q90:Z90,"+")</f>
        <v>10</v>
      </c>
      <c r="AL90" s="4" t="n">
        <f aca="false">COUNTIF(AA90:AJ90,"+")</f>
        <v>8</v>
      </c>
    </row>
    <row r="91" customFormat="false" ht="15.75" hidden="false" customHeight="false" outlineLevel="0" collapsed="false">
      <c r="A91" s="6" t="n">
        <f aca="false">Parse!A107</f>
        <v>42882.88941</v>
      </c>
      <c r="B91" s="19" t="str">
        <f aca="false">Parse!B107</f>
        <v>Точилов</v>
      </c>
      <c r="C91" s="0" t="str">
        <f aca="false">Parse!C107</f>
        <v>Владислав</v>
      </c>
      <c r="D91" s="0" t="n">
        <f aca="false">Parse!D107</f>
        <v>10</v>
      </c>
      <c r="E91" s="0" t="str">
        <f aca="false">Parse!E107</f>
        <v>Гимназия 19</v>
      </c>
      <c r="F91" s="0" t="n">
        <f aca="false">Parse!F107</f>
        <v>0</v>
      </c>
      <c r="G91" s="8" t="str">
        <f aca="false">IFERROR(MID(Parse!G107,SEARCH("vk.com",Parse!G107),LEN(Parse!G107)),Parse!G107)</f>
        <v>vk.com/uhhkjg78ygh</v>
      </c>
      <c r="H91" s="0" t="str">
        <f aca="false">Parse!H107</f>
        <v>vladislavtochilov@gmail.com</v>
      </c>
      <c r="I91" s="0" t="str">
        <f aca="false">VLOOKUP(Parse!I107,$M$1:$N$11,2,FALSE())</f>
        <v>Право</v>
      </c>
      <c r="J91" s="0" t="str">
        <f aca="false">VLOOKUP(Parse!J107,$M$1:$N$11,2,FALSE())</f>
        <v>Экономика</v>
      </c>
      <c r="K91" s="4" t="n">
        <v>2</v>
      </c>
      <c r="Q91" s="4" t="s">
        <v>21</v>
      </c>
      <c r="R91" s="4" t="s">
        <v>21</v>
      </c>
      <c r="S91" s="4" t="s">
        <v>21</v>
      </c>
      <c r="T91" s="4" t="s">
        <v>21</v>
      </c>
      <c r="U91" s="4" t="s">
        <v>23</v>
      </c>
      <c r="V91" s="4" t="s">
        <v>23</v>
      </c>
      <c r="W91" s="4" t="s">
        <v>23</v>
      </c>
      <c r="X91" s="4" t="s">
        <v>23</v>
      </c>
      <c r="Y91" s="4" t="s">
        <v>23</v>
      </c>
      <c r="Z91" s="4" t="s">
        <v>23</v>
      </c>
      <c r="AA91" s="4" t="s">
        <v>23</v>
      </c>
      <c r="AB91" s="4" t="s">
        <v>23</v>
      </c>
      <c r="AC91" s="4" t="s">
        <v>23</v>
      </c>
      <c r="AD91" s="4" t="s">
        <v>23</v>
      </c>
      <c r="AE91" s="4" t="s">
        <v>23</v>
      </c>
      <c r="AF91" s="4" t="s">
        <v>23</v>
      </c>
      <c r="AG91" s="4" t="s">
        <v>23</v>
      </c>
      <c r="AH91" s="4" t="s">
        <v>23</v>
      </c>
      <c r="AI91" s="4" t="s">
        <v>23</v>
      </c>
      <c r="AJ91" s="4" t="s">
        <v>23</v>
      </c>
      <c r="AK91" s="4" t="n">
        <f aca="false">COUNTIF(Q91:Z91,"+")</f>
        <v>4</v>
      </c>
      <c r="AL91" s="4" t="n">
        <f aca="false">COUNTIF(AA91:AJ91,"+")</f>
        <v>0</v>
      </c>
    </row>
    <row r="92" customFormat="false" ht="15.75" hidden="false" customHeight="false" outlineLevel="0" collapsed="false">
      <c r="A92" s="6" t="n">
        <f aca="false">Parse!A108</f>
        <v>42883.38667</v>
      </c>
      <c r="B92" s="20" t="str">
        <f aca="false">Parse!B108</f>
        <v>Оваканян</v>
      </c>
      <c r="C92" s="0" t="str">
        <f aca="false">Parse!C108</f>
        <v>Вероника</v>
      </c>
      <c r="D92" s="0" t="n">
        <f aca="false">Parse!D108</f>
        <v>7</v>
      </c>
      <c r="E92" s="0" t="str">
        <f aca="false">Parse!E108</f>
        <v>Гимназия № 117</v>
      </c>
      <c r="F92" s="0" t="str">
        <f aca="false">Parse!F108</f>
        <v>Буду с 8 июля</v>
      </c>
      <c r="G92" s="8" t="str">
        <f aca="false">IFERROR(MID(Parse!G108,SEARCH("vk.com",Parse!G108),LEN(Parse!G108)),Parse!G108)</f>
        <v>vk.com/vrnkvknn</v>
      </c>
      <c r="H92" s="0" t="str">
        <f aca="false">Parse!H108</f>
        <v>oganes_ovakanyan@mail.ru</v>
      </c>
      <c r="I92" s="0" t="str">
        <f aca="false">VLOOKUP(Parse!I108,$M$1:$N$11,2,FALSE())</f>
        <v>Математика(Кудык)</v>
      </c>
      <c r="J92" s="0" t="str">
        <f aca="false">VLOOKUP(Parse!J108,$M$1:$N$11,2,FALSE())</f>
        <v>Физика(Рутберг)</v>
      </c>
      <c r="K92" s="4" t="n">
        <v>2</v>
      </c>
      <c r="Q92" s="4" t="s">
        <v>23</v>
      </c>
      <c r="R92" s="4" t="s">
        <v>23</v>
      </c>
      <c r="S92" s="4" t="s">
        <v>23</v>
      </c>
      <c r="T92" s="4" t="s">
        <v>23</v>
      </c>
      <c r="U92" s="4" t="s">
        <v>23</v>
      </c>
      <c r="V92" s="4" t="s">
        <v>23</v>
      </c>
      <c r="W92" s="4" t="s">
        <v>23</v>
      </c>
      <c r="X92" s="4" t="s">
        <v>23</v>
      </c>
      <c r="Y92" s="4" t="s">
        <v>23</v>
      </c>
      <c r="Z92" s="4" t="s">
        <v>23</v>
      </c>
      <c r="AA92" s="4" t="s">
        <v>23</v>
      </c>
      <c r="AB92" s="4" t="s">
        <v>23</v>
      </c>
      <c r="AC92" s="4" t="s">
        <v>23</v>
      </c>
      <c r="AD92" s="4" t="s">
        <v>23</v>
      </c>
      <c r="AE92" s="4" t="s">
        <v>23</v>
      </c>
      <c r="AF92" s="4" t="s">
        <v>23</v>
      </c>
      <c r="AG92" s="4" t="s">
        <v>23</v>
      </c>
      <c r="AH92" s="4" t="s">
        <v>23</v>
      </c>
      <c r="AI92" s="4" t="s">
        <v>23</v>
      </c>
      <c r="AJ92" s="4" t="s">
        <v>23</v>
      </c>
      <c r="AK92" s="4" t="n">
        <f aca="false">COUNTIF(Q92:Z92,"+")</f>
        <v>0</v>
      </c>
      <c r="AL92" s="4" t="n">
        <f aca="false">COUNTIF(AA92:AJ92,"+")</f>
        <v>0</v>
      </c>
    </row>
    <row r="93" customFormat="false" ht="15.75" hidden="false" customHeight="false" outlineLevel="0" collapsed="false">
      <c r="A93" s="6" t="n">
        <f aca="false">Parse!A109</f>
        <v>42883.55826</v>
      </c>
      <c r="B93" s="20" t="str">
        <f aca="false">Parse!B109</f>
        <v>Петухова</v>
      </c>
      <c r="C93" s="0" t="str">
        <f aca="false">Parse!C109</f>
        <v>Дарья</v>
      </c>
      <c r="D93" s="0" t="n">
        <f aca="false">Parse!D109</f>
        <v>8</v>
      </c>
      <c r="E93" s="0" t="str">
        <f aca="false">Parse!E109</f>
        <v>№7</v>
      </c>
      <c r="F93" s="0" t="n">
        <f aca="false">Parse!F109</f>
        <v>0</v>
      </c>
      <c r="G93" s="8" t="str">
        <f aca="false">IFERROR(MID(Parse!G109,SEARCH("vk.com",Parse!G109),LEN(Parse!G109)),Parse!G109)</f>
        <v>vk.com/ddp102f</v>
      </c>
      <c r="H93" s="0" t="str">
        <f aca="false">Parse!H109</f>
        <v>Нет</v>
      </c>
      <c r="I93" s="0" t="str">
        <f aca="false">VLOOKUP(Parse!I109,$M$1:$N$11,2,FALSE())</f>
        <v>Право</v>
      </c>
      <c r="J93" s="0" t="str">
        <f aca="false">VLOOKUP(Parse!J109,$M$1:$N$11,2,FALSE())</f>
        <v>Экономика</v>
      </c>
      <c r="K93" s="4" t="n">
        <v>2</v>
      </c>
      <c r="Q93" s="4" t="s">
        <v>21</v>
      </c>
      <c r="R93" s="4" t="s">
        <v>21</v>
      </c>
      <c r="S93" s="4" t="s">
        <v>23</v>
      </c>
      <c r="T93" s="4" t="s">
        <v>23</v>
      </c>
      <c r="U93" s="4" t="s">
        <v>23</v>
      </c>
      <c r="V93" s="4" t="s">
        <v>23</v>
      </c>
      <c r="W93" s="4" t="s">
        <v>23</v>
      </c>
      <c r="X93" s="4" t="s">
        <v>23</v>
      </c>
      <c r="Y93" s="4" t="s">
        <v>23</v>
      </c>
      <c r="Z93" s="4" t="s">
        <v>23</v>
      </c>
      <c r="AA93" s="4" t="s">
        <v>23</v>
      </c>
      <c r="AB93" s="4" t="s">
        <v>23</v>
      </c>
      <c r="AC93" s="4" t="s">
        <v>23</v>
      </c>
      <c r="AD93" s="4" t="s">
        <v>23</v>
      </c>
      <c r="AE93" s="4" t="s">
        <v>23</v>
      </c>
      <c r="AF93" s="4" t="s">
        <v>23</v>
      </c>
      <c r="AG93" s="4" t="s">
        <v>23</v>
      </c>
      <c r="AH93" s="4" t="s">
        <v>23</v>
      </c>
      <c r="AI93" s="4" t="s">
        <v>23</v>
      </c>
      <c r="AJ93" s="4" t="s">
        <v>23</v>
      </c>
      <c r="AK93" s="4" t="n">
        <f aca="false">COUNTIF(Q93:Z93,"+")</f>
        <v>2</v>
      </c>
      <c r="AL93" s="4" t="n">
        <f aca="false">COUNTIF(AA93:AJ93,"+")</f>
        <v>0</v>
      </c>
    </row>
    <row r="94" customFormat="false" ht="15.75" hidden="false" customHeight="false" outlineLevel="0" collapsed="false">
      <c r="A94" s="6" t="n">
        <f aca="false">Parse!A110</f>
        <v>42884.45309</v>
      </c>
      <c r="B94" s="20" t="str">
        <f aca="false">Parse!B110</f>
        <v>Капллани</v>
      </c>
      <c r="C94" s="0" t="str">
        <f aca="false">Parse!C110</f>
        <v>Марина</v>
      </c>
      <c r="D94" s="0" t="n">
        <f aca="false">Parse!D110</f>
        <v>7</v>
      </c>
      <c r="E94" s="0" t="str">
        <f aca="false">Parse!E110</f>
        <v>АНОО "Видергебурт", с восьмого класса "МОЦРО 117"</v>
      </c>
      <c r="F94" s="0" t="str">
        <f aca="false">Parse!F110</f>
        <v>Смогу ходить с 10 июля, т.к. до этого буду в отъезде.</v>
      </c>
      <c r="G94" s="8" t="str">
        <f aca="false">IFERROR(MID(Parse!G110,SEARCH("vk.com",Parse!G110),LEN(Parse!G110)),Parse!G110)</f>
        <v>vk.com/mara.rina</v>
      </c>
      <c r="H94" s="0" t="str">
        <f aca="false">Parse!H110</f>
        <v>mkapllani3002@gmail.com</v>
      </c>
      <c r="I94" s="0" t="str">
        <f aca="false">VLOOKUP(Parse!I110,$M$1:$N$11,2,FALSE())</f>
        <v>Биоинформатика</v>
      </c>
      <c r="J94" s="0" t="str">
        <f aca="false">VLOOKUP(Parse!J110,$M$1:$N$11,2,FALSE())</f>
        <v>Физика(Рутберг)</v>
      </c>
      <c r="K94" s="4" t="n">
        <v>2</v>
      </c>
      <c r="Q94" s="4" t="s">
        <v>23</v>
      </c>
      <c r="R94" s="4" t="s">
        <v>23</v>
      </c>
      <c r="S94" s="4" t="s">
        <v>23</v>
      </c>
      <c r="T94" s="4" t="s">
        <v>23</v>
      </c>
      <c r="U94" s="4" t="s">
        <v>23</v>
      </c>
      <c r="V94" s="4" t="s">
        <v>23</v>
      </c>
      <c r="W94" s="4" t="s">
        <v>23</v>
      </c>
      <c r="X94" s="4" t="s">
        <v>23</v>
      </c>
      <c r="Y94" s="4" t="s">
        <v>23</v>
      </c>
      <c r="Z94" s="4" t="s">
        <v>23</v>
      </c>
      <c r="AA94" s="4" t="s">
        <v>21</v>
      </c>
      <c r="AB94" s="4" t="s">
        <v>21</v>
      </c>
      <c r="AC94" s="4" t="s">
        <v>21</v>
      </c>
      <c r="AD94" s="4" t="s">
        <v>21</v>
      </c>
      <c r="AE94" s="4" t="s">
        <v>21</v>
      </c>
      <c r="AF94" s="4" t="s">
        <v>21</v>
      </c>
      <c r="AG94" s="4" t="s">
        <v>23</v>
      </c>
      <c r="AH94" s="4" t="s">
        <v>23</v>
      </c>
      <c r="AI94" s="4" t="s">
        <v>23</v>
      </c>
      <c r="AJ94" s="4" t="s">
        <v>23</v>
      </c>
      <c r="AK94" s="4" t="n">
        <f aca="false">COUNTIF(Q94:Z94,"+")</f>
        <v>0</v>
      </c>
      <c r="AL94" s="4" t="n">
        <f aca="false">COUNTIF(AA94:AJ94,"+")</f>
        <v>6</v>
      </c>
    </row>
    <row r="95" customFormat="false" ht="15.75" hidden="false" customHeight="false" outlineLevel="0" collapsed="false">
      <c r="A95" s="6" t="n">
        <f aca="false">Parse!A111</f>
        <v>42884.4739</v>
      </c>
      <c r="B95" s="19" t="str">
        <f aca="false">Parse!B111</f>
        <v>Христолюбов</v>
      </c>
      <c r="C95" s="0" t="str">
        <f aca="false">Parse!C111</f>
        <v>Богдан</v>
      </c>
      <c r="D95" s="0" t="n">
        <f aca="false">Parse!D111</f>
        <v>7</v>
      </c>
      <c r="E95" s="0" t="n">
        <f aca="false">Parse!E111</f>
        <v>146</v>
      </c>
      <c r="F95" s="0" t="n">
        <f aca="false">Parse!F111</f>
        <v>0</v>
      </c>
      <c r="G95" s="8" t="str">
        <f aca="false">IFERROR(MID(Parse!G111,SEARCH("vk.com",Parse!G111),LEN(Parse!G111)),Parse!G111)</f>
        <v>vk.com/id382406601</v>
      </c>
      <c r="H95" s="0" t="str">
        <f aca="false">Parse!H111</f>
        <v>b140103@list.ru</v>
      </c>
      <c r="I95" s="0" t="str">
        <f aca="false">VLOOKUP(Parse!I111,$M$1:$N$11,2,FALSE())</f>
        <v>Право</v>
      </c>
      <c r="J95" s="0" t="str">
        <f aca="false">VLOOKUP(Parse!J111,$M$1:$N$11,2,FALSE())</f>
        <v>Экономика</v>
      </c>
      <c r="K95" s="4" t="n">
        <v>2</v>
      </c>
      <c r="Q95" s="4" t="s">
        <v>21</v>
      </c>
      <c r="R95" s="4" t="s">
        <v>21</v>
      </c>
      <c r="S95" s="4" t="s">
        <v>21</v>
      </c>
      <c r="T95" s="4" t="s">
        <v>21</v>
      </c>
      <c r="U95" s="4" t="s">
        <v>21</v>
      </c>
      <c r="V95" s="4" t="s">
        <v>21</v>
      </c>
      <c r="W95" s="4" t="s">
        <v>21</v>
      </c>
      <c r="X95" s="4" t="s">
        <v>21</v>
      </c>
      <c r="Y95" s="4" t="s">
        <v>21</v>
      </c>
      <c r="Z95" s="4" t="s">
        <v>21</v>
      </c>
      <c r="AA95" s="4" t="s">
        <v>21</v>
      </c>
      <c r="AB95" s="4" t="s">
        <v>21</v>
      </c>
      <c r="AC95" s="4" t="s">
        <v>21</v>
      </c>
      <c r="AD95" s="4" t="s">
        <v>21</v>
      </c>
      <c r="AE95" s="4" t="s">
        <v>21</v>
      </c>
      <c r="AF95" s="4" t="s">
        <v>21</v>
      </c>
      <c r="AG95" s="4" t="s">
        <v>21</v>
      </c>
      <c r="AH95" s="4" t="s">
        <v>21</v>
      </c>
      <c r="AI95" s="4" t="s">
        <v>21</v>
      </c>
      <c r="AJ95" s="4" t="s">
        <v>21</v>
      </c>
      <c r="AK95" s="4" t="n">
        <f aca="false">COUNTIF(Q95:Z95,"+")</f>
        <v>10</v>
      </c>
      <c r="AL95" s="4" t="n">
        <f aca="false">COUNTIF(AA95:AJ95,"+")</f>
        <v>10</v>
      </c>
    </row>
    <row r="96" customFormat="false" ht="15.75" hidden="false" customHeight="false" outlineLevel="0" collapsed="false">
      <c r="A96" s="6" t="n">
        <f aca="false">Parse!A112</f>
        <v>42884.65759</v>
      </c>
      <c r="B96" s="0" t="str">
        <f aca="false">Parse!B112</f>
        <v>Усова</v>
      </c>
      <c r="C96" s="0" t="str">
        <f aca="false">Parse!C112</f>
        <v>Вероника</v>
      </c>
      <c r="D96" s="0" t="n">
        <f aca="false">Parse!D112</f>
        <v>5</v>
      </c>
      <c r="E96" s="0" t="str">
        <f aca="false">Parse!E112</f>
        <v>БОУ ОО г. Омска МОЦРО "ГИнмазия 117"</v>
      </c>
      <c r="F96" s="0" t="n">
        <f aca="false">Parse!F112</f>
        <v>0</v>
      </c>
      <c r="G96" s="8" t="str">
        <f aca="false">IFERROR(MID(Parse!G112,SEARCH("vk.com",Parse!G112),LEN(Parse!G112)),Parse!G112)</f>
        <v>vk.com/id403901742</v>
      </c>
      <c r="H96" s="0" t="str">
        <f aca="false">Parse!H112</f>
        <v>veronika.usova51@mail.ru</v>
      </c>
      <c r="I96" s="0" t="str">
        <f aca="false">VLOOKUP(Parse!I112,$M$1:$N$11,2,FALSE())</f>
        <v>Испанский</v>
      </c>
      <c r="J96" s="0" t="n">
        <f aca="false">VLOOKUP(Parse!J112,$M$1:$N$11,2,FALSE())</f>
        <v>0</v>
      </c>
      <c r="K96" s="4" t="n">
        <v>2</v>
      </c>
      <c r="Q96" s="4" t="s">
        <v>23</v>
      </c>
      <c r="R96" s="4" t="s">
        <v>23</v>
      </c>
      <c r="S96" s="4" t="s">
        <v>23</v>
      </c>
      <c r="T96" s="4" t="s">
        <v>23</v>
      </c>
      <c r="U96" s="4" t="s">
        <v>21</v>
      </c>
      <c r="V96" s="4" t="s">
        <v>21</v>
      </c>
      <c r="W96" s="4" t="s">
        <v>21</v>
      </c>
      <c r="X96" s="4" t="s">
        <v>21</v>
      </c>
      <c r="Y96" s="4" t="s">
        <v>21</v>
      </c>
      <c r="Z96" s="4" t="s">
        <v>21</v>
      </c>
      <c r="AK96" s="4" t="n">
        <f aca="false">COUNTIF(Q96:Z96,"+")</f>
        <v>6</v>
      </c>
      <c r="AL96" s="4" t="n">
        <f aca="false">COUNTIF(AA96:AJ96,"+")</f>
        <v>0</v>
      </c>
    </row>
    <row r="97" customFormat="false" ht="15.75" hidden="false" customHeight="false" outlineLevel="0" collapsed="false">
      <c r="A97" s="6" t="n">
        <f aca="false">Parse!A113</f>
        <v>42884.73181</v>
      </c>
      <c r="B97" s="20" t="str">
        <f aca="false">Parse!B113</f>
        <v>Моисеева</v>
      </c>
      <c r="C97" s="0" t="str">
        <f aca="false">Parse!C113</f>
        <v>Вероника</v>
      </c>
      <c r="D97" s="0" t="n">
        <f aca="false">Parse!D113</f>
        <v>7</v>
      </c>
      <c r="E97" s="0" t="str">
        <f aca="false">Parse!E113</f>
        <v>МОЦРО 117</v>
      </c>
      <c r="F97" s="0" t="n">
        <f aca="false">Parse!F113</f>
        <v>0</v>
      </c>
      <c r="G97" s="8" t="str">
        <f aca="false">IFERROR(MID(Parse!G113,SEARCH("vk.com",Parse!G113),LEN(Parse!G113)),Parse!G113)</f>
        <v>vk.com/id276675815</v>
      </c>
      <c r="H97" s="0" t="str">
        <f aca="false">Parse!H113</f>
        <v>moinikita333@yandex.ru</v>
      </c>
      <c r="I97" s="0" t="str">
        <f aca="false">VLOOKUP(Parse!I113,$M$1:$N$11,2,FALSE())</f>
        <v>Программирование(Шульга)</v>
      </c>
      <c r="J97" s="0" t="str">
        <f aca="false">VLOOKUP(Parse!J113,$M$1:$N$11,2,FALSE())</f>
        <v>Экономика</v>
      </c>
      <c r="K97" s="4" t="n">
        <v>2</v>
      </c>
      <c r="Q97" s="4" t="s">
        <v>21</v>
      </c>
      <c r="R97" s="4" t="s">
        <v>21</v>
      </c>
      <c r="S97" s="4" t="s">
        <v>21</v>
      </c>
      <c r="T97" s="4" t="s">
        <v>21</v>
      </c>
      <c r="U97" s="4" t="s">
        <v>23</v>
      </c>
      <c r="V97" s="4" t="s">
        <v>23</v>
      </c>
      <c r="W97" s="4" t="s">
        <v>21</v>
      </c>
      <c r="X97" s="4" t="s">
        <v>21</v>
      </c>
      <c r="Y97" s="4" t="s">
        <v>21</v>
      </c>
      <c r="Z97" s="4" t="s">
        <v>21</v>
      </c>
      <c r="AA97" s="4" t="s">
        <v>21</v>
      </c>
      <c r="AB97" s="4" t="s">
        <v>21</v>
      </c>
      <c r="AC97" s="4" t="s">
        <v>21</v>
      </c>
      <c r="AD97" s="4" t="s">
        <v>21</v>
      </c>
      <c r="AE97" s="4" t="s">
        <v>21</v>
      </c>
      <c r="AF97" s="4" t="s">
        <v>21</v>
      </c>
      <c r="AG97" s="4" t="s">
        <v>21</v>
      </c>
      <c r="AH97" s="4" t="s">
        <v>21</v>
      </c>
      <c r="AI97" s="4" t="s">
        <v>21</v>
      </c>
      <c r="AJ97" s="4" t="s">
        <v>21</v>
      </c>
      <c r="AK97" s="4" t="n">
        <f aca="false">COUNTIF(Q97:Z97,"+")</f>
        <v>8</v>
      </c>
      <c r="AL97" s="4" t="n">
        <f aca="false">COUNTIF(AA97:AJ97,"+")</f>
        <v>10</v>
      </c>
    </row>
    <row r="98" customFormat="false" ht="15.75" hidden="false" customHeight="false" outlineLevel="0" collapsed="false">
      <c r="A98" s="6" t="n">
        <f aca="false">Parse!A116</f>
        <v>42885.26851</v>
      </c>
      <c r="B98" s="19" t="str">
        <f aca="false">Parse!B116</f>
        <v>Ткач</v>
      </c>
      <c r="C98" s="0" t="str">
        <f aca="false">Parse!C116</f>
        <v>Софья</v>
      </c>
      <c r="D98" s="0" t="n">
        <f aca="false">Parse!D116</f>
        <v>8</v>
      </c>
      <c r="E98" s="0" t="str">
        <f aca="false">Parse!E116</f>
        <v>Гимназия 43</v>
      </c>
      <c r="F98" s="0" t="n">
        <f aca="false">Parse!F116</f>
        <v>0</v>
      </c>
      <c r="G98" s="8" t="str">
        <f aca="false">IFERROR(MID(Parse!G116,SEARCH("vk.com",Parse!G116),LEN(Parse!G116)),Parse!G116)</f>
        <v>vk.com/id186803102</v>
      </c>
      <c r="H98" s="0" t="str">
        <f aca="false">Parse!H116</f>
        <v>sonytkach@mail.ru</v>
      </c>
      <c r="I98" s="0" t="str">
        <f aca="false">VLOOKUP(Parse!I116,$M$1:$N$11,2,FALSE())</f>
        <v>Программирование(Свет)</v>
      </c>
      <c r="J98" s="0" t="str">
        <f aca="false">VLOOKUP(Parse!J116,$M$1:$N$11,2,FALSE())</f>
        <v>Математика(Строженко)</v>
      </c>
      <c r="K98" s="4" t="n">
        <v>2</v>
      </c>
      <c r="Q98" s="4" t="s">
        <v>21</v>
      </c>
      <c r="R98" s="4" t="s">
        <v>21</v>
      </c>
      <c r="S98" s="4" t="s">
        <v>21</v>
      </c>
      <c r="T98" s="4" t="s">
        <v>21</v>
      </c>
      <c r="U98" s="4" t="s">
        <v>21</v>
      </c>
      <c r="V98" s="4" t="s">
        <v>21</v>
      </c>
      <c r="W98" s="4" t="s">
        <v>21</v>
      </c>
      <c r="X98" s="4" t="s">
        <v>21</v>
      </c>
      <c r="Y98" s="4" t="s">
        <v>21</v>
      </c>
      <c r="Z98" s="4" t="s">
        <v>21</v>
      </c>
      <c r="AA98" s="4" t="s">
        <v>23</v>
      </c>
      <c r="AB98" s="4" t="s">
        <v>23</v>
      </c>
      <c r="AC98" s="4" t="s">
        <v>21</v>
      </c>
      <c r="AD98" s="4" t="s">
        <v>21</v>
      </c>
      <c r="AE98" s="4" t="s">
        <v>21</v>
      </c>
      <c r="AF98" s="4" t="s">
        <v>21</v>
      </c>
      <c r="AG98" s="4" t="s">
        <v>21</v>
      </c>
      <c r="AH98" s="4" t="s">
        <v>21</v>
      </c>
      <c r="AI98" s="4" t="s">
        <v>21</v>
      </c>
      <c r="AJ98" s="4" t="s">
        <v>21</v>
      </c>
      <c r="AK98" s="4" t="n">
        <f aca="false">COUNTIF(Q98:Z98,"+")</f>
        <v>10</v>
      </c>
      <c r="AL98" s="4" t="n">
        <f aca="false">COUNTIF(AA98:AJ98,"+")</f>
        <v>8</v>
      </c>
    </row>
    <row r="99" customFormat="false" ht="15.75" hidden="false" customHeight="false" outlineLevel="0" collapsed="false">
      <c r="A99" s="6" t="n">
        <f aca="false">Parse!A117</f>
        <v>42885.36057</v>
      </c>
      <c r="B99" s="17" t="str">
        <f aca="false">Parse!B117</f>
        <v>Деркач</v>
      </c>
      <c r="C99" s="0" t="str">
        <f aca="false">Parse!C117</f>
        <v>Александра</v>
      </c>
      <c r="D99" s="0" t="n">
        <f aca="false">Parse!D117</f>
        <v>7</v>
      </c>
      <c r="E99" s="0" t="n">
        <f aca="false">Parse!E117</f>
        <v>117</v>
      </c>
      <c r="F99" s="0" t="n">
        <f aca="false">Parse!F117</f>
        <v>0</v>
      </c>
      <c r="G99" s="8" t="str">
        <f aca="false">IFERROR(MID(Parse!G117,SEARCH("vk.com",Parse!G117),LEN(Parse!G117)),Parse!G117)</f>
        <v>vk.com/aderkach2017</v>
      </c>
      <c r="H99" s="0" t="str">
        <f aca="false">Parse!H117</f>
        <v>xenia_derkach@mail.ru</v>
      </c>
      <c r="I99" s="0" t="str">
        <f aca="false">VLOOKUP(Parse!I117,$M$1:$N$11,2,FALSE())</f>
        <v>Математика(Кудык)</v>
      </c>
      <c r="J99" s="0" t="str">
        <f aca="false">VLOOKUP(Parse!J117,$M$1:$N$11,2,FALSE())</f>
        <v>Испанский</v>
      </c>
      <c r="K99" s="4" t="n">
        <v>1</v>
      </c>
      <c r="Q99" s="4" t="s">
        <v>21</v>
      </c>
      <c r="R99" s="4" t="s">
        <v>21</v>
      </c>
      <c r="S99" s="4" t="s">
        <v>21</v>
      </c>
      <c r="T99" s="4" t="s">
        <v>21</v>
      </c>
      <c r="U99" s="4" t="s">
        <v>21</v>
      </c>
      <c r="V99" s="4" t="s">
        <v>21</v>
      </c>
      <c r="W99" s="4" t="s">
        <v>21</v>
      </c>
      <c r="X99" s="4" t="s">
        <v>21</v>
      </c>
      <c r="Y99" s="4" t="s">
        <v>21</v>
      </c>
      <c r="Z99" s="4" t="s">
        <v>21</v>
      </c>
      <c r="AA99" s="4" t="s">
        <v>21</v>
      </c>
      <c r="AB99" s="4" t="s">
        <v>21</v>
      </c>
      <c r="AC99" s="4" t="s">
        <v>21</v>
      </c>
      <c r="AD99" s="4" t="s">
        <v>21</v>
      </c>
      <c r="AE99" s="4" t="s">
        <v>23</v>
      </c>
      <c r="AF99" s="4" t="s">
        <v>21</v>
      </c>
      <c r="AG99" s="4" t="s">
        <v>21</v>
      </c>
      <c r="AH99" s="4" t="s">
        <v>21</v>
      </c>
      <c r="AI99" s="4" t="s">
        <v>21</v>
      </c>
      <c r="AJ99" s="4" t="s">
        <v>21</v>
      </c>
      <c r="AK99" s="4" t="n">
        <f aca="false">COUNTIF(Q99:Z99,"+")</f>
        <v>10</v>
      </c>
      <c r="AL99" s="4" t="n">
        <f aca="false">COUNTIF(AA99:AJ99,"+")</f>
        <v>9</v>
      </c>
    </row>
    <row r="100" customFormat="false" ht="15.75" hidden="false" customHeight="false" outlineLevel="0" collapsed="false">
      <c r="A100" s="6" t="n">
        <f aca="false">Parse!A118</f>
        <v>42885.43171</v>
      </c>
      <c r="B100" s="17" t="str">
        <f aca="false">Parse!B118</f>
        <v>Новопашина</v>
      </c>
      <c r="C100" s="0" t="str">
        <f aca="false">Parse!C118</f>
        <v>Елизавета</v>
      </c>
      <c r="D100" s="0" t="n">
        <f aca="false">Parse!D118</f>
        <v>10</v>
      </c>
      <c r="E100" s="0" t="n">
        <f aca="false">Parse!E118</f>
        <v>107</v>
      </c>
      <c r="F100" s="0" t="n">
        <f aca="false">Parse!F118</f>
        <v>0</v>
      </c>
      <c r="G100" s="8" t="str">
        <f aca="false">IFERROR(MID(Parse!G118,SEARCH("vk.com",Parse!G118),LEN(Parse!G118)),Parse!G118)</f>
        <v>vk.com/id172201719</v>
      </c>
      <c r="H100" s="0" t="str">
        <f aca="false">Parse!H118</f>
        <v>novopashina.eliz@yandex.ru</v>
      </c>
      <c r="I100" s="0" t="str">
        <f aca="false">VLOOKUP(Parse!I118,$M$1:$N$11,2,FALSE())</f>
        <v>Физика(Рутберг)</v>
      </c>
      <c r="J100" s="0" t="str">
        <f aca="false">VLOOKUP(Parse!J118,$M$1:$N$11,2,FALSE())</f>
        <v>Математика(Кудык)</v>
      </c>
      <c r="K100" s="4" t="n">
        <v>2</v>
      </c>
      <c r="Q100" s="4" t="s">
        <v>21</v>
      </c>
      <c r="R100" s="4" t="s">
        <v>21</v>
      </c>
      <c r="S100" s="4" t="s">
        <v>21</v>
      </c>
      <c r="T100" s="4" t="s">
        <v>21</v>
      </c>
      <c r="U100" s="4" t="s">
        <v>21</v>
      </c>
      <c r="V100" s="4" t="s">
        <v>21</v>
      </c>
      <c r="W100" s="4" t="s">
        <v>21</v>
      </c>
      <c r="X100" s="4" t="s">
        <v>21</v>
      </c>
      <c r="Y100" s="4" t="s">
        <v>21</v>
      </c>
      <c r="Z100" s="4" t="s">
        <v>21</v>
      </c>
      <c r="AA100" s="4" t="s">
        <v>21</v>
      </c>
      <c r="AB100" s="4" t="s">
        <v>21</v>
      </c>
      <c r="AC100" s="4" t="s">
        <v>21</v>
      </c>
      <c r="AD100" s="4" t="s">
        <v>21</v>
      </c>
      <c r="AE100" s="4" t="s">
        <v>21</v>
      </c>
      <c r="AF100" s="4" t="s">
        <v>21</v>
      </c>
      <c r="AG100" s="4" t="s">
        <v>21</v>
      </c>
      <c r="AH100" s="4" t="s">
        <v>21</v>
      </c>
      <c r="AI100" s="4" t="s">
        <v>21</v>
      </c>
      <c r="AJ100" s="4" t="s">
        <v>21</v>
      </c>
      <c r="AK100" s="4" t="n">
        <f aca="false">COUNTIF(Q100:Z100,"+")</f>
        <v>10</v>
      </c>
      <c r="AL100" s="4" t="n">
        <f aca="false">COUNTIF(AA100:AJ100,"+")</f>
        <v>10</v>
      </c>
    </row>
    <row r="101" customFormat="false" ht="15.75" hidden="false" customHeight="false" outlineLevel="0" collapsed="false">
      <c r="A101" s="6" t="n">
        <f aca="false">Parse!A120</f>
        <v>42885.771</v>
      </c>
      <c r="B101" s="17" t="str">
        <f aca="false">Parse!B120</f>
        <v>Васильева</v>
      </c>
      <c r="C101" s="0" t="str">
        <f aca="false">Parse!C120</f>
        <v>Мария</v>
      </c>
      <c r="D101" s="0" t="n">
        <f aca="false">Parse!D120</f>
        <v>8</v>
      </c>
      <c r="E101" s="0" t="str">
        <f aca="false">Parse!E120</f>
        <v>БОУ ОО "МОЦРО 117"</v>
      </c>
      <c r="F101" s="0" t="n">
        <f aca="false">Parse!F120</f>
        <v>0</v>
      </c>
      <c r="G101" s="8" t="str">
        <f aca="false">IFERROR(MID(Parse!G120,SEARCH("vk.com",Parse!G120),LEN(Parse!G120)),Parse!G120)</f>
        <v>vk.com/sadmaris</v>
      </c>
      <c r="H101" s="0" t="str">
        <f aca="false">Parse!H120</f>
        <v>vas-77077@mail.ru</v>
      </c>
      <c r="I101" s="0" t="str">
        <f aca="false">VLOOKUP(Parse!I120,$M$1:$N$11,2,FALSE())</f>
        <v>Право</v>
      </c>
      <c r="J101" s="0" t="str">
        <f aca="false">VLOOKUP(Parse!J120,$M$1:$N$11,2,FALSE())</f>
        <v>Испанский</v>
      </c>
      <c r="K101" s="4" t="n">
        <v>2</v>
      </c>
      <c r="Q101" s="4" t="s">
        <v>21</v>
      </c>
      <c r="R101" s="4" t="s">
        <v>21</v>
      </c>
      <c r="S101" s="4" t="s">
        <v>21</v>
      </c>
      <c r="T101" s="4" t="s">
        <v>21</v>
      </c>
      <c r="U101" s="4" t="s">
        <v>21</v>
      </c>
      <c r="V101" s="4" t="s">
        <v>21</v>
      </c>
      <c r="W101" s="4" t="s">
        <v>21</v>
      </c>
      <c r="X101" s="4" t="s">
        <v>21</v>
      </c>
      <c r="Y101" s="4" t="s">
        <v>21</v>
      </c>
      <c r="Z101" s="4" t="s">
        <v>21</v>
      </c>
      <c r="AA101" s="4" t="s">
        <v>21</v>
      </c>
      <c r="AB101" s="4" t="s">
        <v>21</v>
      </c>
      <c r="AC101" s="4" t="s">
        <v>21</v>
      </c>
      <c r="AD101" s="4" t="s">
        <v>21</v>
      </c>
      <c r="AE101" s="4" t="s">
        <v>21</v>
      </c>
      <c r="AF101" s="4" t="s">
        <v>21</v>
      </c>
      <c r="AG101" s="4" t="s">
        <v>21</v>
      </c>
      <c r="AH101" s="4" t="s">
        <v>21</v>
      </c>
      <c r="AI101" s="4" t="s">
        <v>21</v>
      </c>
      <c r="AJ101" s="4" t="s">
        <v>21</v>
      </c>
      <c r="AK101" s="4" t="n">
        <f aca="false">COUNTIF(Q101:Z101,"+")</f>
        <v>10</v>
      </c>
      <c r="AL101" s="4" t="n">
        <f aca="false">COUNTIF(AA101:AJ101,"+")</f>
        <v>10</v>
      </c>
    </row>
    <row r="102" customFormat="false" ht="15.75" hidden="false" customHeight="false" outlineLevel="0" collapsed="false">
      <c r="A102" s="6" t="n">
        <f aca="false">Parse!A121</f>
        <v>42886.59309</v>
      </c>
      <c r="B102" s="0" t="str">
        <f aca="false">Parse!B121</f>
        <v>Грушко</v>
      </c>
      <c r="C102" s="0" t="str">
        <f aca="false">Parse!C121</f>
        <v>Александр</v>
      </c>
      <c r="D102" s="0" t="n">
        <f aca="false">Parse!D121</f>
        <v>7</v>
      </c>
      <c r="E102" s="0" t="n">
        <f aca="false">Parse!E121</f>
        <v>117</v>
      </c>
      <c r="F102" s="0" t="n">
        <f aca="false">Parse!F121</f>
        <v>0</v>
      </c>
      <c r="G102" s="8" t="str">
        <f aca="false">IFERROR(MID(Parse!G121,SEARCH("vk.com",Parse!G121),LEN(Parse!G121)),Parse!G121)</f>
        <v>vk.com/id340132670</v>
      </c>
      <c r="H102" s="0" t="str">
        <f aca="false">Parse!H121</f>
        <v>grushko.alex@gmail.com</v>
      </c>
      <c r="I102" s="0" t="str">
        <f aca="false">VLOOKUP(Parse!I121,$M$1:$N$11,2,FALSE())</f>
        <v>Математика(Кудык)</v>
      </c>
      <c r="J102" s="0" t="str">
        <f aca="false">VLOOKUP(Parse!J121,$M$1:$N$11,2,FALSE())</f>
        <v>Физика(Рутберг)</v>
      </c>
      <c r="K102" s="4" t="n">
        <v>2</v>
      </c>
      <c r="Q102" s="4" t="s">
        <v>23</v>
      </c>
      <c r="R102" s="4" t="s">
        <v>23</v>
      </c>
      <c r="S102" s="4" t="s">
        <v>21</v>
      </c>
      <c r="T102" s="4" t="s">
        <v>21</v>
      </c>
      <c r="U102" s="4" t="s">
        <v>23</v>
      </c>
      <c r="V102" s="4" t="s">
        <v>23</v>
      </c>
      <c r="W102" s="4" t="s">
        <v>23</v>
      </c>
      <c r="X102" s="4" t="s">
        <v>23</v>
      </c>
      <c r="Y102" s="4" t="s">
        <v>23</v>
      </c>
      <c r="Z102" s="4" t="s">
        <v>23</v>
      </c>
      <c r="AA102" s="4" t="s">
        <v>23</v>
      </c>
      <c r="AB102" s="4" t="s">
        <v>23</v>
      </c>
      <c r="AC102" s="4" t="s">
        <v>23</v>
      </c>
      <c r="AD102" s="4" t="s">
        <v>23</v>
      </c>
      <c r="AE102" s="4" t="s">
        <v>23</v>
      </c>
      <c r="AF102" s="4" t="s">
        <v>23</v>
      </c>
      <c r="AG102" s="4" t="s">
        <v>23</v>
      </c>
      <c r="AH102" s="4" t="s">
        <v>23</v>
      </c>
      <c r="AI102" s="4" t="s">
        <v>23</v>
      </c>
      <c r="AJ102" s="4" t="s">
        <v>23</v>
      </c>
      <c r="AK102" s="4" t="n">
        <f aca="false">COUNTIF(Q102:Z102,"+")</f>
        <v>2</v>
      </c>
      <c r="AL102" s="4" t="n">
        <f aca="false">COUNTIF(AA102:AJ102,"+")</f>
        <v>0</v>
      </c>
    </row>
    <row r="103" customFormat="false" ht="15.75" hidden="false" customHeight="false" outlineLevel="0" collapsed="false">
      <c r="A103" s="6" t="n">
        <f aca="false">Parse!A122</f>
        <v>42886.70047</v>
      </c>
      <c r="B103" s="19" t="str">
        <f aca="false">Parse!B122</f>
        <v>Бендик</v>
      </c>
      <c r="C103" s="0" t="str">
        <f aca="false">Parse!C122</f>
        <v>Илья</v>
      </c>
      <c r="D103" s="0" t="n">
        <f aca="false">Parse!D122</f>
        <v>11</v>
      </c>
      <c r="E103" s="7" t="str">
        <f aca="false">Parse!E122</f>
        <v>117</v>
      </c>
      <c r="F103" s="0" t="n">
        <f aca="false">Parse!F122</f>
        <v>0</v>
      </c>
      <c r="G103" s="8" t="str">
        <f aca="false">IFERROR(MID(Parse!G122,SEARCH("vk.com",Parse!G122),LEN(Parse!G122)),Parse!G122)</f>
        <v>vk.com/id189813664</v>
      </c>
      <c r="H103" s="0" t="str">
        <f aca="false">Parse!H122</f>
        <v>ilyabend@yandex.ru</v>
      </c>
      <c r="I103" s="0" t="str">
        <f aca="false">VLOOKUP(Parse!I122,$M$1:$N$11,2,FALSE())</f>
        <v>Биоинформатика</v>
      </c>
      <c r="J103" s="0" t="str">
        <f aca="false">VLOOKUP(Parse!J122,$M$1:$N$11,2,FALSE())</f>
        <v>Физика(Шумаков)</v>
      </c>
      <c r="K103" s="4" t="n">
        <v>2</v>
      </c>
      <c r="Q103" s="4" t="s">
        <v>23</v>
      </c>
      <c r="R103" s="4" t="s">
        <v>21</v>
      </c>
      <c r="S103" s="4" t="s">
        <v>21</v>
      </c>
      <c r="T103" s="4" t="s">
        <v>21</v>
      </c>
      <c r="U103" s="4" t="s">
        <v>23</v>
      </c>
      <c r="V103" s="4" t="s">
        <v>23</v>
      </c>
      <c r="W103" s="4" t="s">
        <v>23</v>
      </c>
      <c r="X103" s="4" t="s">
        <v>23</v>
      </c>
      <c r="Y103" s="4" t="s">
        <v>23</v>
      </c>
      <c r="Z103" s="4" t="s">
        <v>23</v>
      </c>
      <c r="AA103" s="4" t="s">
        <v>23</v>
      </c>
      <c r="AB103" s="4" t="s">
        <v>23</v>
      </c>
      <c r="AC103" s="4" t="s">
        <v>23</v>
      </c>
      <c r="AD103" s="4" t="s">
        <v>23</v>
      </c>
      <c r="AE103" s="4" t="s">
        <v>23</v>
      </c>
      <c r="AF103" s="4" t="s">
        <v>23</v>
      </c>
      <c r="AG103" s="4" t="s">
        <v>23</v>
      </c>
      <c r="AH103" s="4" t="s">
        <v>23</v>
      </c>
      <c r="AI103" s="4" t="s">
        <v>23</v>
      </c>
      <c r="AJ103" s="4" t="s">
        <v>23</v>
      </c>
      <c r="AK103" s="4" t="n">
        <f aca="false">COUNTIF(Q103:Z103,"+")</f>
        <v>3</v>
      </c>
      <c r="AL103" s="4" t="n">
        <f aca="false">COUNTIF(AA103:AJ103,"+")</f>
        <v>0</v>
      </c>
    </row>
    <row r="104" customFormat="false" ht="15.75" hidden="false" customHeight="false" outlineLevel="0" collapsed="false">
      <c r="A104" s="6" t="n">
        <f aca="false">Parse!A124</f>
        <v>42886.84111</v>
      </c>
      <c r="B104" s="0" t="str">
        <f aca="false">Parse!B124</f>
        <v>Гулькин</v>
      </c>
      <c r="C104" s="0" t="str">
        <f aca="false">Parse!C124</f>
        <v>Иван</v>
      </c>
      <c r="D104" s="0" t="n">
        <f aca="false">Parse!D124</f>
        <v>7</v>
      </c>
      <c r="E104" s="0" t="n">
        <f aca="false">Parse!E124</f>
        <v>117</v>
      </c>
      <c r="F104" s="0" t="str">
        <f aca="false">Parse!F124</f>
        <v>Не весь учебный день</v>
      </c>
      <c r="G104" s="0" t="str">
        <f aca="false">IFERROR(MID(Parse!G124,SEARCH("vk.com",Parse!G124),LEN(Parse!G124)),Parse!G124)</f>
        <v>Нет</v>
      </c>
      <c r="H104" s="0" t="str">
        <f aca="false">Parse!H124</f>
        <v>nvita0211@gmail.com</v>
      </c>
      <c r="I104" s="0" t="str">
        <f aca="false">VLOOKUP(Parse!I124,$M$1:$N$11,2,FALSE())</f>
        <v>Математика(Кудык)</v>
      </c>
      <c r="J104" s="0" t="str">
        <f aca="false">VLOOKUP(Parse!J124,$M$1:$N$11,2,FALSE())</f>
        <v>Физика(Рутберг)</v>
      </c>
      <c r="K104" s="4" t="n">
        <v>0</v>
      </c>
      <c r="R104" s="4" t="s">
        <v>23</v>
      </c>
      <c r="S104" s="4" t="s">
        <v>21</v>
      </c>
      <c r="T104" s="4" t="s">
        <v>21</v>
      </c>
      <c r="U104" s="4" t="s">
        <v>23</v>
      </c>
      <c r="V104" s="4" t="s">
        <v>23</v>
      </c>
      <c r="W104" s="4" t="s">
        <v>23</v>
      </c>
      <c r="X104" s="4" t="s">
        <v>23</v>
      </c>
      <c r="Y104" s="4" t="s">
        <v>21</v>
      </c>
      <c r="Z104" s="4" t="s">
        <v>21</v>
      </c>
      <c r="AA104" s="4" t="s">
        <v>23</v>
      </c>
      <c r="AB104" s="4" t="s">
        <v>23</v>
      </c>
      <c r="AC104" s="4" t="s">
        <v>23</v>
      </c>
      <c r="AD104" s="4" t="s">
        <v>23</v>
      </c>
      <c r="AE104" s="4" t="s">
        <v>23</v>
      </c>
      <c r="AF104" s="4" t="s">
        <v>23</v>
      </c>
      <c r="AG104" s="4" t="s">
        <v>23</v>
      </c>
      <c r="AH104" s="4" t="s">
        <v>23</v>
      </c>
      <c r="AI104" s="4" t="s">
        <v>23</v>
      </c>
      <c r="AJ104" s="4" t="s">
        <v>23</v>
      </c>
      <c r="AK104" s="4" t="n">
        <f aca="false">COUNTIF(Q104:Z104,"+")</f>
        <v>4</v>
      </c>
      <c r="AL104" s="4" t="n">
        <f aca="false">COUNTIF(AA104:AJ104,"+")</f>
        <v>0</v>
      </c>
    </row>
    <row r="105" customFormat="false" ht="15.75" hidden="false" customHeight="false" outlineLevel="0" collapsed="false">
      <c r="A105" s="6" t="n">
        <f aca="false">Parse!A125</f>
        <v>42887.51771</v>
      </c>
      <c r="B105" s="17" t="str">
        <f aca="false">Parse!B125</f>
        <v>Суров</v>
      </c>
      <c r="C105" s="0" t="str">
        <f aca="false">Parse!C125</f>
        <v>Матвей</v>
      </c>
      <c r="D105" s="0" t="n">
        <f aca="false">Parse!D125</f>
        <v>6</v>
      </c>
      <c r="E105" s="0" t="n">
        <f aca="false">Parse!E125</f>
        <v>35</v>
      </c>
      <c r="F105" s="0" t="n">
        <f aca="false">Parse!F125</f>
        <v>0</v>
      </c>
      <c r="G105" s="8" t="str">
        <f aca="false">IFERROR(MID(Parse!G125,SEARCH("vk.com",Parse!G125),LEN(Parse!G125)),Parse!G125)</f>
        <v>vk.com/id411925471</v>
      </c>
      <c r="H105" s="0" t="str">
        <f aca="false">Parse!H125</f>
        <v>surova_kristina@inbox.ru</v>
      </c>
      <c r="I105" s="0" t="str">
        <f aca="false">VLOOKUP(Parse!I125,$M$1:$N$11,2,FALSE())</f>
        <v>Программирование(Шульга)</v>
      </c>
      <c r="J105" s="0" t="str">
        <f aca="false">VLOOKUP(Parse!J125,$M$1:$N$11,2,FALSE())</f>
        <v>Биоинформатика</v>
      </c>
      <c r="K105" s="4" t="n">
        <v>2</v>
      </c>
      <c r="Q105" s="4" t="s">
        <v>21</v>
      </c>
      <c r="R105" s="4" t="s">
        <v>21</v>
      </c>
      <c r="S105" s="4" t="s">
        <v>21</v>
      </c>
      <c r="T105" s="4" t="s">
        <v>21</v>
      </c>
      <c r="U105" s="4" t="s">
        <v>21</v>
      </c>
      <c r="V105" s="4" t="s">
        <v>21</v>
      </c>
      <c r="W105" s="4" t="s">
        <v>21</v>
      </c>
      <c r="X105" s="4" t="s">
        <v>21</v>
      </c>
      <c r="Y105" s="4" t="s">
        <v>21</v>
      </c>
      <c r="Z105" s="4" t="s">
        <v>21</v>
      </c>
      <c r="AA105" s="4" t="s">
        <v>21</v>
      </c>
      <c r="AB105" s="4" t="s">
        <v>21</v>
      </c>
      <c r="AC105" s="4" t="s">
        <v>21</v>
      </c>
      <c r="AD105" s="4" t="s">
        <v>21</v>
      </c>
      <c r="AE105" s="4" t="s">
        <v>21</v>
      </c>
      <c r="AF105" s="4" t="s">
        <v>21</v>
      </c>
      <c r="AG105" s="4" t="s">
        <v>21</v>
      </c>
      <c r="AH105" s="4" t="s">
        <v>21</v>
      </c>
      <c r="AI105" s="4" t="s">
        <v>21</v>
      </c>
      <c r="AJ105" s="4" t="s">
        <v>21</v>
      </c>
      <c r="AK105" s="4" t="n">
        <f aca="false">COUNTIF(Q105:Z105,"+")</f>
        <v>10</v>
      </c>
      <c r="AL105" s="4" t="n">
        <f aca="false">COUNTIF(AA105:AJ105,"+")</f>
        <v>10</v>
      </c>
    </row>
    <row r="106" customFormat="false" ht="15.75" hidden="false" customHeight="false" outlineLevel="0" collapsed="false">
      <c r="A106" s="6" t="n">
        <f aca="false">Parse!A126</f>
        <v>42887.61457</v>
      </c>
      <c r="B106" s="17" t="str">
        <f aca="false">Parse!B126</f>
        <v>Тищенко</v>
      </c>
      <c r="C106" s="0" t="str">
        <f aca="false">Parse!C126</f>
        <v>Даша</v>
      </c>
      <c r="D106" s="0" t="n">
        <f aca="false">Parse!D126</f>
        <v>8</v>
      </c>
      <c r="E106" s="0" t="str">
        <f aca="false">Parse!E126</f>
        <v>БОУ ОО "МОЦРО № 117"</v>
      </c>
      <c r="F106" s="0" t="n">
        <f aca="false">Parse!F126</f>
        <v>0</v>
      </c>
      <c r="G106" s="8" t="str">
        <f aca="false">IFERROR(MID(Parse!G126,SEARCH("vk.com",Parse!G126),LEN(Parse!G126)),Parse!G126)</f>
        <v>vk.com/neko_murr</v>
      </c>
      <c r="H106" s="0" t="str">
        <f aca="false">Parse!H126</f>
        <v>tishenko.elena.m@mail.ru</v>
      </c>
      <c r="I106" s="0" t="str">
        <f aca="false">VLOOKUP(Parse!I126,$M$1:$N$11,2,FALSE())</f>
        <v>Право</v>
      </c>
      <c r="J106" s="0" t="str">
        <f aca="false">VLOOKUP(Parse!J126,$M$1:$N$11,2,FALSE())</f>
        <v>Биоинформатика</v>
      </c>
      <c r="K106" s="4" t="n">
        <v>2</v>
      </c>
      <c r="Q106" s="4" t="s">
        <v>21</v>
      </c>
      <c r="R106" s="4" t="s">
        <v>21</v>
      </c>
      <c r="S106" s="4" t="s">
        <v>21</v>
      </c>
      <c r="T106" s="4" t="s">
        <v>21</v>
      </c>
      <c r="U106" s="4" t="s">
        <v>21</v>
      </c>
      <c r="V106" s="4" t="s">
        <v>21</v>
      </c>
      <c r="W106" s="4" t="s">
        <v>21</v>
      </c>
      <c r="X106" s="4" t="s">
        <v>21</v>
      </c>
      <c r="Y106" s="4" t="s">
        <v>21</v>
      </c>
      <c r="Z106" s="4" t="s">
        <v>21</v>
      </c>
      <c r="AA106" s="4" t="s">
        <v>21</v>
      </c>
      <c r="AB106" s="4" t="s">
        <v>21</v>
      </c>
      <c r="AC106" s="4" t="s">
        <v>21</v>
      </c>
      <c r="AD106" s="4" t="s">
        <v>21</v>
      </c>
      <c r="AE106" s="4" t="s">
        <v>21</v>
      </c>
      <c r="AF106" s="4" t="s">
        <v>21</v>
      </c>
      <c r="AG106" s="4" t="s">
        <v>21</v>
      </c>
      <c r="AH106" s="4" t="s">
        <v>21</v>
      </c>
      <c r="AI106" s="4" t="s">
        <v>21</v>
      </c>
      <c r="AJ106" s="4" t="s">
        <v>21</v>
      </c>
      <c r="AK106" s="4" t="n">
        <f aca="false">COUNTIF(Q106:Z106,"+")</f>
        <v>10</v>
      </c>
      <c r="AL106" s="4" t="n">
        <f aca="false">COUNTIF(AA106:AJ106,"+")</f>
        <v>10</v>
      </c>
    </row>
    <row r="107" customFormat="false" ht="15.75" hidden="false" customHeight="false" outlineLevel="0" collapsed="false">
      <c r="A107" s="6" t="n">
        <f aca="false">Parse!A127</f>
        <v>42888.70556</v>
      </c>
      <c r="B107" s="19" t="str">
        <f aca="false">Parse!B127</f>
        <v>Курбатова</v>
      </c>
      <c r="C107" s="0" t="str">
        <f aca="false">Parse!C127</f>
        <v>Анна</v>
      </c>
      <c r="D107" s="0" t="n">
        <f aca="false">Parse!D127</f>
        <v>8</v>
      </c>
      <c r="E107" s="0" t="str">
        <f aca="false">Parse!E127</f>
        <v>БОУ СОШ 3</v>
      </c>
      <c r="F107" s="0" t="str">
        <f aca="false">Parse!F127</f>
        <v>Вопрос с 09.07</v>
      </c>
      <c r="G107" s="8" t="str">
        <f aca="false">IFERROR(MID(Parse!G127,SEARCH("vk.com",Parse!G127),LEN(Parse!G127)),Parse!G127)</f>
        <v>vk.com/anna.kurbatova99</v>
      </c>
      <c r="H107" s="0" t="str">
        <f aca="false">Parse!H127</f>
        <v>kea-sea@ya.ru</v>
      </c>
      <c r="I107" s="0" t="str">
        <f aca="false">VLOOKUP(Parse!I127,$M$1:$N$11,2,FALSE())</f>
        <v>Биоинформатика</v>
      </c>
      <c r="J107" s="0" t="str">
        <f aca="false">VLOOKUP(Parse!J127,$M$1:$N$11,2,FALSE())</f>
        <v>Физика(Шумаков)</v>
      </c>
      <c r="K107" s="4" t="n">
        <v>2</v>
      </c>
      <c r="Q107" s="4" t="s">
        <v>21</v>
      </c>
      <c r="R107" s="4" t="s">
        <v>21</v>
      </c>
      <c r="S107" s="4" t="s">
        <v>21</v>
      </c>
      <c r="T107" s="4" t="s">
        <v>21</v>
      </c>
      <c r="U107" s="4" t="s">
        <v>21</v>
      </c>
      <c r="V107" s="4" t="s">
        <v>21</v>
      </c>
      <c r="W107" s="4" t="s">
        <v>21</v>
      </c>
      <c r="X107" s="4" t="s">
        <v>21</v>
      </c>
      <c r="Y107" s="4" t="s">
        <v>21</v>
      </c>
      <c r="Z107" s="4" t="s">
        <v>21</v>
      </c>
      <c r="AA107" s="4" t="s">
        <v>21</v>
      </c>
      <c r="AB107" s="4" t="s">
        <v>21</v>
      </c>
      <c r="AC107" s="4" t="s">
        <v>23</v>
      </c>
      <c r="AD107" s="4" t="s">
        <v>23</v>
      </c>
      <c r="AE107" s="4" t="s">
        <v>23</v>
      </c>
      <c r="AF107" s="4" t="s">
        <v>23</v>
      </c>
      <c r="AG107" s="4" t="s">
        <v>23</v>
      </c>
      <c r="AH107" s="4" t="s">
        <v>23</v>
      </c>
      <c r="AI107" s="4" t="s">
        <v>23</v>
      </c>
      <c r="AJ107" s="4" t="s">
        <v>23</v>
      </c>
      <c r="AK107" s="4" t="n">
        <f aca="false">COUNTIF(Q107:Z107,"+")</f>
        <v>10</v>
      </c>
      <c r="AL107" s="4" t="n">
        <f aca="false">COUNTIF(AA107:AJ107,"+")</f>
        <v>2</v>
      </c>
    </row>
    <row r="108" customFormat="false" ht="15.75" hidden="false" customHeight="false" outlineLevel="0" collapsed="false">
      <c r="A108" s="6" t="n">
        <f aca="false">Parse!A128</f>
        <v>42893.875</v>
      </c>
      <c r="B108" s="0" t="str">
        <f aca="false">Parse!B128</f>
        <v>Алтышев</v>
      </c>
      <c r="C108" s="0" t="str">
        <f aca="false">Parse!C128</f>
        <v>Артем</v>
      </c>
      <c r="D108" s="0" t="n">
        <f aca="false">Parse!D128</f>
        <v>9</v>
      </c>
      <c r="E108" s="7" t="str">
        <f aca="false">Parse!E128</f>
        <v>109</v>
      </c>
      <c r="F108" s="0" t="n">
        <f aca="false">Parse!F128</f>
        <v>0</v>
      </c>
      <c r="G108" s="8" t="str">
        <f aca="false">IFERROR(MID(Parse!G128,SEARCH("vk.com",Parse!G128),LEN(Parse!G128)),Parse!G128)</f>
        <v>vk.com/id312748553</v>
      </c>
      <c r="H108" s="0" t="str">
        <f aca="false">Parse!H128</f>
        <v>artem-altyshev@mail.ru</v>
      </c>
      <c r="I108" s="0" t="str">
        <f aca="false">VLOOKUP(Parse!I128,$M$1:$N$11,2,FALSE())</f>
        <v>Право</v>
      </c>
      <c r="J108" s="0" t="str">
        <f aca="false">VLOOKUP(Parse!J128,$M$1:$N$11,2,FALSE())</f>
        <v>Экономика</v>
      </c>
      <c r="K108" s="4" t="n">
        <v>2</v>
      </c>
      <c r="Q108" s="4" t="s">
        <v>21</v>
      </c>
      <c r="R108" s="4" t="s">
        <v>21</v>
      </c>
      <c r="S108" s="4" t="s">
        <v>21</v>
      </c>
      <c r="T108" s="4" t="s">
        <v>21</v>
      </c>
      <c r="U108" s="4" t="s">
        <v>21</v>
      </c>
      <c r="V108" s="4" t="s">
        <v>21</v>
      </c>
      <c r="W108" s="4" t="s">
        <v>23</v>
      </c>
      <c r="X108" s="4" t="s">
        <v>23</v>
      </c>
      <c r="Y108" s="4" t="s">
        <v>23</v>
      </c>
      <c r="Z108" s="4" t="s">
        <v>23</v>
      </c>
      <c r="AA108" s="4" t="s">
        <v>21</v>
      </c>
      <c r="AB108" s="4" t="s">
        <v>21</v>
      </c>
      <c r="AC108" s="4" t="s">
        <v>23</v>
      </c>
      <c r="AD108" s="4" t="s">
        <v>23</v>
      </c>
      <c r="AE108" s="4" t="s">
        <v>23</v>
      </c>
      <c r="AF108" s="4" t="s">
        <v>23</v>
      </c>
      <c r="AG108" s="4" t="s">
        <v>21</v>
      </c>
      <c r="AH108" s="4" t="s">
        <v>23</v>
      </c>
      <c r="AI108" s="4" t="s">
        <v>23</v>
      </c>
      <c r="AJ108" s="4" t="s">
        <v>23</v>
      </c>
      <c r="AK108" s="4" t="n">
        <f aca="false">COUNTIF(Q108:Z108,"+")</f>
        <v>6</v>
      </c>
      <c r="AL108" s="4" t="n">
        <f aca="false">COUNTIF(AA108:AJ108,"+")</f>
        <v>3</v>
      </c>
    </row>
    <row r="109" customFormat="false" ht="15.75" hidden="false" customHeight="false" outlineLevel="0" collapsed="false">
      <c r="A109" s="6" t="n">
        <f aca="false">Parse!A129</f>
        <v>42896.48472</v>
      </c>
      <c r="B109" s="17" t="str">
        <f aca="false">Parse!B129</f>
        <v>Желдак</v>
      </c>
      <c r="C109" s="0" t="str">
        <f aca="false">Parse!C129</f>
        <v>Леонид</v>
      </c>
      <c r="D109" s="0" t="n">
        <f aca="false">Parse!D129</f>
        <v>7</v>
      </c>
      <c r="E109" s="7" t="str">
        <f aca="false">Parse!E129</f>
        <v>117</v>
      </c>
      <c r="F109" s="0" t="n">
        <f aca="false">Parse!F129</f>
        <v>0</v>
      </c>
      <c r="G109" s="8" t="str">
        <f aca="false">IFERROR(MID(Parse!G129,SEARCH("vk.com",Parse!G129),LEN(Parse!G129)),Parse!G129)</f>
        <v>vk.com/lzheldak</v>
      </c>
      <c r="H109" s="0" t="str">
        <f aca="false">Parse!H129</f>
        <v>leonid.zheldak@rambler.ru</v>
      </c>
      <c r="I109" s="0" t="str">
        <f aca="false">VLOOKUP(Parse!I129,$M$1:$N$11,2,FALSE())</f>
        <v>Программирование(Шульга)</v>
      </c>
      <c r="J109" s="0" t="str">
        <f aca="false">VLOOKUP(Parse!J129,$M$1:$N$11,2,FALSE())</f>
        <v>Биоинформатика</v>
      </c>
      <c r="K109" s="4" t="n">
        <v>2</v>
      </c>
      <c r="Q109" s="4" t="s">
        <v>21</v>
      </c>
      <c r="R109" s="4" t="s">
        <v>21</v>
      </c>
      <c r="S109" s="4" t="s">
        <v>21</v>
      </c>
      <c r="T109" s="4" t="s">
        <v>21</v>
      </c>
      <c r="U109" s="4" t="s">
        <v>21</v>
      </c>
      <c r="V109" s="4" t="s">
        <v>21</v>
      </c>
      <c r="W109" s="4" t="s">
        <v>21</v>
      </c>
      <c r="X109" s="4" t="s">
        <v>21</v>
      </c>
      <c r="Y109" s="4" t="s">
        <v>21</v>
      </c>
      <c r="Z109" s="4" t="s">
        <v>21</v>
      </c>
      <c r="AA109" s="4" t="s">
        <v>21</v>
      </c>
      <c r="AB109" s="4" t="s">
        <v>21</v>
      </c>
      <c r="AC109" s="4" t="s">
        <v>21</v>
      </c>
      <c r="AD109" s="4" t="s">
        <v>21</v>
      </c>
      <c r="AE109" s="4" t="s">
        <v>21</v>
      </c>
      <c r="AF109" s="4" t="s">
        <v>21</v>
      </c>
      <c r="AG109" s="4" t="s">
        <v>21</v>
      </c>
      <c r="AH109" s="4" t="s">
        <v>21</v>
      </c>
      <c r="AI109" s="4" t="s">
        <v>21</v>
      </c>
      <c r="AJ109" s="4" t="s">
        <v>21</v>
      </c>
      <c r="AK109" s="4" t="n">
        <f aca="false">COUNTIF(Q109:Z109,"+")</f>
        <v>10</v>
      </c>
      <c r="AL109" s="4" t="n">
        <f aca="false">COUNTIF(AA109:AJ109,"+")</f>
        <v>10</v>
      </c>
    </row>
    <row r="110" customFormat="false" ht="15.75" hidden="false" customHeight="false" outlineLevel="0" collapsed="false">
      <c r="A110" s="6" t="n">
        <f aca="false">Parse!A130</f>
        <v>42905.01944</v>
      </c>
      <c r="B110" s="17" t="str">
        <f aca="false">Parse!B130</f>
        <v>Кузьмин</v>
      </c>
      <c r="C110" s="0" t="str">
        <f aca="false">Parse!C130</f>
        <v>Василий</v>
      </c>
      <c r="D110" s="0" t="n">
        <f aca="false">Parse!D130</f>
        <v>8</v>
      </c>
      <c r="E110" s="0" t="n">
        <f aca="false">Parse!E130</f>
        <v>117</v>
      </c>
      <c r="F110" s="0" t="n">
        <f aca="false">Parse!F130</f>
        <v>0</v>
      </c>
      <c r="G110" s="8" t="str">
        <f aca="false">IFERROR(MID(Parse!G130,SEARCH("vk.com",Parse!G130),LEN(Parse!G130)),Parse!G130)</f>
        <v>vk.com/username1908</v>
      </c>
      <c r="H110" s="0" t="str">
        <f aca="false">Parse!H130</f>
        <v>re_1919@mail.ru</v>
      </c>
      <c r="I110" s="0" t="str">
        <f aca="false">VLOOKUP(Parse!I130,$M$1:$N$11,2,FALSE())</f>
        <v>Программирование(Свет)</v>
      </c>
      <c r="J110" s="0" t="str">
        <f aca="false">VLOOKUP(Parse!J130,$M$1:$N$11,2,FALSE())</f>
        <v>Биоинформатика</v>
      </c>
      <c r="K110" s="4" t="n">
        <v>2</v>
      </c>
      <c r="Q110" s="4" t="s">
        <v>21</v>
      </c>
      <c r="R110" s="4" t="s">
        <v>21</v>
      </c>
      <c r="S110" s="4" t="s">
        <v>21</v>
      </c>
      <c r="T110" s="4" t="s">
        <v>21</v>
      </c>
      <c r="U110" s="4" t="s">
        <v>21</v>
      </c>
      <c r="V110" s="4" t="s">
        <v>21</v>
      </c>
      <c r="W110" s="4" t="s">
        <v>21</v>
      </c>
      <c r="X110" s="4" t="s">
        <v>21</v>
      </c>
      <c r="Y110" s="4" t="s">
        <v>21</v>
      </c>
      <c r="Z110" s="4" t="s">
        <v>21</v>
      </c>
      <c r="AA110" s="4" t="s">
        <v>21</v>
      </c>
      <c r="AB110" s="4" t="s">
        <v>21</v>
      </c>
      <c r="AC110" s="4" t="s">
        <v>21</v>
      </c>
      <c r="AD110" s="4" t="s">
        <v>21</v>
      </c>
      <c r="AE110" s="4" t="s">
        <v>21</v>
      </c>
      <c r="AF110" s="4" t="s">
        <v>21</v>
      </c>
      <c r="AG110" s="4" t="s">
        <v>21</v>
      </c>
      <c r="AH110" s="4" t="s">
        <v>21</v>
      </c>
      <c r="AI110" s="4" t="s">
        <v>21</v>
      </c>
      <c r="AJ110" s="4" t="s">
        <v>21</v>
      </c>
      <c r="AK110" s="4" t="n">
        <f aca="false">COUNTIF(Q110:Z110,"+")</f>
        <v>10</v>
      </c>
      <c r="AL110" s="4" t="n">
        <f aca="false">COUNTIF(AA110:AJ110,"+")</f>
        <v>10</v>
      </c>
    </row>
    <row r="111" customFormat="false" ht="15.75" hidden="false" customHeight="false" outlineLevel="0" collapsed="false">
      <c r="A111" s="23" t="n">
        <f aca="false">Parse!A131</f>
        <v>42922.41667</v>
      </c>
      <c r="B111" s="0" t="str">
        <f aca="false">Parse!B131</f>
        <v>Спиридонова</v>
      </c>
      <c r="C111" s="0" t="str">
        <f aca="false">Parse!C131</f>
        <v>Ксения</v>
      </c>
      <c r="D111" s="0" t="n">
        <f aca="false">Parse!D131</f>
        <v>11</v>
      </c>
      <c r="E111" s="7" t="str">
        <f aca="false">Parse!E131</f>
        <v>64</v>
      </c>
      <c r="F111" s="0" t="n">
        <f aca="false">Parse!F131</f>
        <v>0</v>
      </c>
      <c r="G111" s="0" t="n">
        <f aca="false">IFERROR(MID(Parse!G131,SEARCH("vk.com",Parse!G131),LEN(Parse!G131)),Parse!G131)</f>
        <v>0</v>
      </c>
      <c r="H111" s="0" t="n">
        <f aca="false">Parse!H131</f>
        <v>0</v>
      </c>
      <c r="I111" s="0" t="str">
        <f aca="false">VLOOKUP(Parse!I131,$M$1:$N$11,2,FALSE())</f>
        <v>Биоинформатика</v>
      </c>
      <c r="J111" s="0" t="str">
        <f aca="false">VLOOKUP(Parse!J131,$M$1:$N$11,2,FALSE())</f>
        <v>Физика(Рутберг)</v>
      </c>
      <c r="K111" s="4" t="n">
        <v>2</v>
      </c>
      <c r="Q111" s="4" t="s">
        <v>21</v>
      </c>
      <c r="R111" s="4" t="s">
        <v>21</v>
      </c>
      <c r="S111" s="4" t="s">
        <v>21</v>
      </c>
      <c r="T111" s="4" t="s">
        <v>21</v>
      </c>
      <c r="U111" s="4" t="s">
        <v>21</v>
      </c>
      <c r="V111" s="4" t="s">
        <v>21</v>
      </c>
      <c r="W111" s="4" t="s">
        <v>21</v>
      </c>
      <c r="X111" s="4" t="s">
        <v>21</v>
      </c>
      <c r="Y111" s="4" t="s">
        <v>21</v>
      </c>
      <c r="Z111" s="4" t="s">
        <v>21</v>
      </c>
      <c r="AA111" s="4" t="s">
        <v>21</v>
      </c>
      <c r="AB111" s="4" t="s">
        <v>21</v>
      </c>
      <c r="AC111" s="4" t="s">
        <v>23</v>
      </c>
      <c r="AD111" s="4" t="s">
        <v>23</v>
      </c>
      <c r="AE111" s="4" t="s">
        <v>21</v>
      </c>
      <c r="AF111" s="4" t="s">
        <v>21</v>
      </c>
      <c r="AG111" s="4" t="s">
        <v>21</v>
      </c>
      <c r="AH111" s="4" t="s">
        <v>21</v>
      </c>
      <c r="AI111" s="4" t="s">
        <v>23</v>
      </c>
      <c r="AJ111" s="4" t="s">
        <v>23</v>
      </c>
      <c r="AK111" s="4" t="n">
        <f aca="false">COUNTIF(Q111:Z111,"+")</f>
        <v>10</v>
      </c>
      <c r="AL111" s="4" t="n">
        <f aca="false">COUNTIF(AA111:AJ111,"+")</f>
        <v>6</v>
      </c>
    </row>
    <row r="112" customFormat="false" ht="15.75" hidden="false" customHeight="false" outlineLevel="0" collapsed="false">
      <c r="A112" s="24" t="n">
        <f aca="false">Parse!A132</f>
        <v>42927.54167</v>
      </c>
      <c r="B112" s="17" t="str">
        <f aca="false">Parse!B132</f>
        <v>Павлова</v>
      </c>
      <c r="C112" s="0" t="str">
        <f aca="false">Parse!C132</f>
        <v>Дарья</v>
      </c>
      <c r="D112" s="0" t="n">
        <f aca="false">Parse!D132</f>
        <v>7</v>
      </c>
      <c r="E112" s="7" t="str">
        <f aca="false">Parse!E132</f>
        <v>144</v>
      </c>
      <c r="F112" s="0" t="n">
        <f aca="false">Parse!F132</f>
        <v>0</v>
      </c>
      <c r="G112" s="0" t="n">
        <f aca="false">IFERROR(MID(Parse!G132,SEARCH("vk.com",Parse!G132),LEN(Parse!G132)),Parse!G132)</f>
        <v>0</v>
      </c>
      <c r="H112" s="0" t="n">
        <f aca="false">Parse!H132</f>
        <v>0</v>
      </c>
      <c r="I112" s="0" t="n">
        <f aca="false">VLOOKUP(Parse!I132,$M$1:$N$11,2,FALSE())</f>
        <v>0</v>
      </c>
      <c r="J112" s="0" t="str">
        <f aca="false">VLOOKUP(Parse!J132,$M$1:$N$11,2,FALSE())</f>
        <v>Испанский</v>
      </c>
      <c r="K112" s="4" t="n">
        <v>2</v>
      </c>
      <c r="AA112" s="4" t="s">
        <v>21</v>
      </c>
      <c r="AB112" s="4" t="s">
        <v>21</v>
      </c>
      <c r="AC112" s="4" t="s">
        <v>21</v>
      </c>
      <c r="AD112" s="4" t="s">
        <v>21</v>
      </c>
      <c r="AE112" s="4" t="s">
        <v>23</v>
      </c>
      <c r="AF112" s="4" t="s">
        <v>23</v>
      </c>
      <c r="AG112" s="4" t="s">
        <v>21</v>
      </c>
      <c r="AH112" s="4" t="s">
        <v>21</v>
      </c>
      <c r="AI112" s="4" t="s">
        <v>21</v>
      </c>
      <c r="AJ112" s="4" t="s">
        <v>21</v>
      </c>
      <c r="AK112" s="4" t="n">
        <f aca="false">COUNTIF(Q112:Z112,"+")</f>
        <v>0</v>
      </c>
      <c r="AL112" s="4" t="n">
        <f aca="false">COUNTIF(AA112:AJ112,"+")</f>
        <v>8</v>
      </c>
    </row>
    <row r="113" customFormat="false" ht="15.75" hidden="false" customHeight="false" outlineLevel="0" collapsed="false">
      <c r="A113" s="24" t="n">
        <f aca="false">Parse!A133</f>
        <v>42927.54167</v>
      </c>
      <c r="B113" s="17" t="str">
        <f aca="false">Parse!B133</f>
        <v>Уткина</v>
      </c>
      <c r="C113" s="0" t="str">
        <f aca="false">Parse!C133</f>
        <v>Лиза</v>
      </c>
      <c r="D113" s="0" t="n">
        <f aca="false">Parse!D133</f>
        <v>7</v>
      </c>
      <c r="E113" s="7" t="str">
        <f aca="false">Parse!E133</f>
        <v>117</v>
      </c>
      <c r="F113" s="0" t="n">
        <f aca="false">Parse!F133</f>
        <v>0</v>
      </c>
      <c r="G113" s="0" t="n">
        <f aca="false">IFERROR(MID(Parse!G133,SEARCH("vk.com",Parse!G133),LEN(Parse!G133)),Parse!G133)</f>
        <v>0</v>
      </c>
      <c r="H113" s="0" t="n">
        <f aca="false">Parse!H133</f>
        <v>0</v>
      </c>
      <c r="I113" s="0" t="str">
        <f aca="false">VLOOKUP(Parse!I133,$M$1:$N$11,2,FALSE())</f>
        <v>Математика(Кудык)</v>
      </c>
      <c r="J113" s="0" t="str">
        <f aca="false">VLOOKUP(Parse!J133,$M$1:$N$11,2,FALSE())</f>
        <v>Испанский</v>
      </c>
      <c r="K113" s="4" t="n">
        <v>2</v>
      </c>
      <c r="R113" s="4" t="s">
        <v>23</v>
      </c>
      <c r="S113" s="4" t="s">
        <v>23</v>
      </c>
      <c r="T113" s="4" t="s">
        <v>23</v>
      </c>
      <c r="U113" s="4" t="s">
        <v>23</v>
      </c>
      <c r="V113" s="4" t="s">
        <v>23</v>
      </c>
      <c r="W113" s="4" t="s">
        <v>21</v>
      </c>
      <c r="X113" s="4" t="s">
        <v>21</v>
      </c>
      <c r="Y113" s="4" t="s">
        <v>21</v>
      </c>
      <c r="Z113" s="4" t="s">
        <v>21</v>
      </c>
      <c r="AA113" s="4" t="s">
        <v>21</v>
      </c>
      <c r="AB113" s="4" t="s">
        <v>21</v>
      </c>
      <c r="AC113" s="4" t="s">
        <v>21</v>
      </c>
      <c r="AD113" s="4" t="s">
        <v>21</v>
      </c>
      <c r="AE113" s="4" t="s">
        <v>23</v>
      </c>
      <c r="AF113" s="4" t="s">
        <v>23</v>
      </c>
      <c r="AG113" s="4" t="s">
        <v>21</v>
      </c>
      <c r="AH113" s="4" t="s">
        <v>21</v>
      </c>
      <c r="AI113" s="4" t="s">
        <v>21</v>
      </c>
      <c r="AJ113" s="4" t="s">
        <v>21</v>
      </c>
      <c r="AK113" s="4" t="n">
        <f aca="false">COUNTIF(Q113:Z113,"+")</f>
        <v>4</v>
      </c>
      <c r="AL113" s="4" t="n">
        <f aca="false">COUNTIF(AA113:AJ113,"+")</f>
        <v>8</v>
      </c>
    </row>
    <row r="114" customFormat="false" ht="15.75" hidden="false" customHeight="false" outlineLevel="0" collapsed="false">
      <c r="A114" s="0" t="n">
        <f aca="false">Parse!A134</f>
        <v>0</v>
      </c>
      <c r="B114" s="0" t="n">
        <f aca="false">Parse!B134</f>
        <v>0</v>
      </c>
      <c r="C114" s="0" t="n">
        <f aca="false">Parse!C134</f>
        <v>0</v>
      </c>
      <c r="D114" s="0" t="n">
        <f aca="false">Parse!D134</f>
        <v>0</v>
      </c>
      <c r="E114" s="7" t="n">
        <f aca="false">Parse!E134</f>
        <v>0</v>
      </c>
      <c r="F114" s="0" t="n">
        <f aca="false">Parse!F134</f>
        <v>0</v>
      </c>
      <c r="G114" s="0" t="n">
        <f aca="false">IFERROR(MID(Parse!G134,SEARCH("vk.com",Parse!G134),LEN(Parse!G134)),Parse!G134)</f>
        <v>0</v>
      </c>
      <c r="H114" s="0" t="n">
        <f aca="false">Parse!H134</f>
        <v>0</v>
      </c>
      <c r="I114" s="0" t="e">
        <f aca="false">VLOOKUP(Parse!I134,$M$1:$N$11,2,FALSE())</f>
        <v>#N/A</v>
      </c>
      <c r="J114" s="0" t="e">
        <f aca="false">VLOOKUP(Parse!J134,$M$1:$N$11,2,FALSE())</f>
        <v>#N/A</v>
      </c>
      <c r="K114" s="4" t="n">
        <v>2</v>
      </c>
      <c r="Q114" s="0" t="n">
        <f aca="false">COUNTIF(Q2:Q113, "=+")</f>
        <v>83</v>
      </c>
    </row>
    <row r="115" customFormat="false" ht="15.75" hidden="false" customHeight="false" outlineLevel="0" collapsed="false">
      <c r="A115" s="0" t="n">
        <f aca="false">Parse!A135</f>
        <v>0</v>
      </c>
      <c r="B115" s="0" t="n">
        <f aca="false">Parse!B135</f>
        <v>0</v>
      </c>
      <c r="C115" s="0" t="n">
        <f aca="false">Parse!C135</f>
        <v>0</v>
      </c>
      <c r="D115" s="0" t="n">
        <f aca="false">Parse!D135</f>
        <v>0</v>
      </c>
      <c r="E115" s="7" t="n">
        <f aca="false">Parse!E135</f>
        <v>0</v>
      </c>
      <c r="F115" s="0" t="n">
        <f aca="false">Parse!F135</f>
        <v>0</v>
      </c>
      <c r="G115" s="0" t="n">
        <f aca="false">IFERROR(MID(Parse!G135,SEARCH("vk.com",Parse!G135),LEN(Parse!G135)),Parse!G135)</f>
        <v>0</v>
      </c>
      <c r="H115" s="0" t="n">
        <f aca="false">Parse!H135</f>
        <v>0</v>
      </c>
      <c r="I115" s="0" t="e">
        <f aca="false">VLOOKUP(Parse!I135,$M$1:$N$11,2,FALSE())</f>
        <v>#N/A</v>
      </c>
      <c r="J115" s="0" t="e">
        <f aca="false">VLOOKUP(Parse!J135,$M$1:$N$11,2,FALSE())</f>
        <v>#N/A</v>
      </c>
      <c r="K115" s="4" t="n">
        <v>2</v>
      </c>
    </row>
    <row r="116" customFormat="false" ht="15.75" hidden="false" customHeight="false" outlineLevel="0" collapsed="false">
      <c r="A116" s="0" t="n">
        <f aca="false">Parse!A136</f>
        <v>0</v>
      </c>
      <c r="B116" s="0" t="n">
        <f aca="false">Parse!B136</f>
        <v>0</v>
      </c>
      <c r="C116" s="0" t="n">
        <f aca="false">Parse!C136</f>
        <v>0</v>
      </c>
      <c r="D116" s="0" t="n">
        <f aca="false">Parse!D136</f>
        <v>0</v>
      </c>
      <c r="E116" s="7" t="n">
        <f aca="false">Parse!E136</f>
        <v>0</v>
      </c>
      <c r="F116" s="0" t="n">
        <f aca="false">Parse!F136</f>
        <v>0</v>
      </c>
      <c r="G116" s="0" t="n">
        <f aca="false">IFERROR(MID(Parse!G136,SEARCH("vk.com",Parse!G136),LEN(Parse!G136)),Parse!G136)</f>
        <v>0</v>
      </c>
      <c r="H116" s="0" t="n">
        <f aca="false">Parse!H136</f>
        <v>0</v>
      </c>
      <c r="I116" s="0" t="e">
        <f aca="false">VLOOKUP(Parse!I136,$M$1:$N$11,2,FALSE())</f>
        <v>#N/A</v>
      </c>
      <c r="J116" s="0" t="e">
        <f aca="false">VLOOKUP(Parse!J136,$M$1:$N$11,2,FALSE())</f>
        <v>#N/A</v>
      </c>
      <c r="K116" s="4" t="n">
        <v>2</v>
      </c>
    </row>
    <row r="117" customFormat="false" ht="15.75" hidden="false" customHeight="false" outlineLevel="0" collapsed="false">
      <c r="A117" s="0" t="n">
        <f aca="false">Parse!A137</f>
        <v>0</v>
      </c>
      <c r="B117" s="0" t="n">
        <f aca="false">Parse!B137</f>
        <v>0</v>
      </c>
      <c r="C117" s="0" t="n">
        <f aca="false">Parse!C137</f>
        <v>0</v>
      </c>
      <c r="D117" s="0" t="n">
        <f aca="false">Parse!D137</f>
        <v>0</v>
      </c>
      <c r="E117" s="7" t="n">
        <f aca="false">Parse!E137</f>
        <v>0</v>
      </c>
      <c r="F117" s="0" t="n">
        <f aca="false">Parse!F137</f>
        <v>0</v>
      </c>
      <c r="G117" s="0" t="n">
        <f aca="false">IFERROR(MID(Parse!G137,SEARCH("vk.com",Parse!G137),LEN(Parse!G137)),Parse!G137)</f>
        <v>0</v>
      </c>
      <c r="H117" s="0" t="n">
        <f aca="false">Parse!H137</f>
        <v>0</v>
      </c>
      <c r="I117" s="0" t="e">
        <f aca="false">VLOOKUP(Parse!I137,$M$1:$N$11,2,FALSE())</f>
        <v>#N/A</v>
      </c>
      <c r="J117" s="0" t="e">
        <f aca="false">VLOOKUP(Parse!J137,$M$1:$N$11,2,FALSE())</f>
        <v>#N/A</v>
      </c>
      <c r="K117" s="4" t="n">
        <v>2</v>
      </c>
    </row>
    <row r="118" customFormat="false" ht="15.75" hidden="false" customHeight="false" outlineLevel="0" collapsed="false">
      <c r="A118" s="0" t="n">
        <f aca="false">Parse!A138</f>
        <v>0</v>
      </c>
      <c r="B118" s="0" t="n">
        <f aca="false">Parse!B138</f>
        <v>0</v>
      </c>
      <c r="C118" s="0" t="n">
        <f aca="false">Parse!C138</f>
        <v>0</v>
      </c>
      <c r="D118" s="0" t="n">
        <f aca="false">Parse!D138</f>
        <v>0</v>
      </c>
      <c r="E118" s="7" t="n">
        <f aca="false">Parse!E138</f>
        <v>0</v>
      </c>
      <c r="F118" s="0" t="n">
        <f aca="false">Parse!F138</f>
        <v>0</v>
      </c>
      <c r="G118" s="0" t="n">
        <f aca="false">IFERROR(MID(Parse!G138,SEARCH("vk.com",Parse!G138),LEN(Parse!G138)),Parse!G138)</f>
        <v>0</v>
      </c>
      <c r="H118" s="0" t="n">
        <f aca="false">Parse!H138</f>
        <v>0</v>
      </c>
      <c r="I118" s="0" t="e">
        <f aca="false">VLOOKUP(Parse!I138,$M$1:$N$11,2,FALSE())</f>
        <v>#N/A</v>
      </c>
      <c r="J118" s="0" t="e">
        <f aca="false">VLOOKUP(Parse!J138,$M$1:$N$11,2,FALSE())</f>
        <v>#N/A</v>
      </c>
      <c r="K118" s="4" t="n">
        <v>2</v>
      </c>
    </row>
    <row r="119" customFormat="false" ht="15.75" hidden="false" customHeight="false" outlineLevel="0" collapsed="false">
      <c r="A119" s="0" t="n">
        <f aca="false">Parse!A139</f>
        <v>0</v>
      </c>
      <c r="B119" s="0" t="n">
        <f aca="false">Parse!B139</f>
        <v>0</v>
      </c>
      <c r="C119" s="0" t="n">
        <f aca="false">Parse!C139</f>
        <v>0</v>
      </c>
      <c r="D119" s="0" t="n">
        <f aca="false">Parse!D139</f>
        <v>0</v>
      </c>
      <c r="E119" s="7" t="n">
        <f aca="false">Parse!E139</f>
        <v>0</v>
      </c>
      <c r="F119" s="0" t="n">
        <f aca="false">Parse!F139</f>
        <v>0</v>
      </c>
      <c r="G119" s="0" t="n">
        <f aca="false">IFERROR(MID(Parse!G139,SEARCH("vk.com",Parse!G139),LEN(Parse!G139)),Parse!G139)</f>
        <v>0</v>
      </c>
      <c r="H119" s="0" t="n">
        <f aca="false">Parse!H139</f>
        <v>0</v>
      </c>
      <c r="I119" s="0" t="e">
        <f aca="false">VLOOKUP(Parse!I139,$M$1:$N$11,2,FALSE())</f>
        <v>#N/A</v>
      </c>
      <c r="J119" s="0" t="e">
        <f aca="false">VLOOKUP(Parse!J139,$M$1:$N$11,2,FALSE())</f>
        <v>#N/A</v>
      </c>
      <c r="K119" s="4" t="n">
        <v>2</v>
      </c>
    </row>
    <row r="120" customFormat="false" ht="15.75" hidden="false" customHeight="false" outlineLevel="0" collapsed="false">
      <c r="A120" s="0" t="n">
        <f aca="false">Parse!A140</f>
        <v>0</v>
      </c>
      <c r="B120" s="0" t="n">
        <f aca="false">Parse!B140</f>
        <v>0</v>
      </c>
      <c r="C120" s="0" t="n">
        <f aca="false">Parse!C140</f>
        <v>0</v>
      </c>
      <c r="D120" s="0" t="n">
        <f aca="false">Parse!D140</f>
        <v>0</v>
      </c>
      <c r="E120" s="7" t="n">
        <f aca="false">Parse!E140</f>
        <v>0</v>
      </c>
      <c r="F120" s="0" t="n">
        <f aca="false">Parse!F140</f>
        <v>0</v>
      </c>
      <c r="G120" s="0" t="n">
        <f aca="false">IFERROR(MID(Parse!G140,SEARCH("vk.com",Parse!G140),LEN(Parse!G140)),Parse!G140)</f>
        <v>0</v>
      </c>
      <c r="H120" s="0" t="n">
        <f aca="false">Parse!H140</f>
        <v>0</v>
      </c>
      <c r="I120" s="0" t="e">
        <f aca="false">VLOOKUP(Parse!I140,$M$1:$N$11,2,FALSE())</f>
        <v>#N/A</v>
      </c>
      <c r="J120" s="0" t="e">
        <f aca="false">VLOOKUP(Parse!J140,$M$1:$N$11,2,FALSE())</f>
        <v>#N/A</v>
      </c>
      <c r="K120" s="4" t="n">
        <v>2</v>
      </c>
    </row>
    <row r="121" customFormat="false" ht="15.75" hidden="false" customHeight="false" outlineLevel="0" collapsed="false">
      <c r="A121" s="0" t="n">
        <f aca="false">Parse!A141</f>
        <v>0</v>
      </c>
      <c r="B121" s="0" t="n">
        <f aca="false">Parse!B141</f>
        <v>0</v>
      </c>
      <c r="C121" s="0" t="n">
        <f aca="false">Parse!C141</f>
        <v>0</v>
      </c>
      <c r="D121" s="0" t="n">
        <f aca="false">Parse!D141</f>
        <v>0</v>
      </c>
      <c r="E121" s="7" t="n">
        <f aca="false">Parse!E141</f>
        <v>0</v>
      </c>
      <c r="F121" s="0" t="n">
        <f aca="false">Parse!F141</f>
        <v>0</v>
      </c>
      <c r="G121" s="0" t="n">
        <f aca="false">IFERROR(MID(Parse!G141,SEARCH("vk.com",Parse!G141),LEN(Parse!G141)),Parse!G141)</f>
        <v>0</v>
      </c>
      <c r="H121" s="0" t="n">
        <f aca="false">Parse!H141</f>
        <v>0</v>
      </c>
      <c r="I121" s="0" t="e">
        <f aca="false">VLOOKUP(Parse!I141,$M$1:$N$11,2,FALSE())</f>
        <v>#N/A</v>
      </c>
      <c r="J121" s="0" t="e">
        <f aca="false">VLOOKUP(Parse!J141,$M$1:$N$11,2,FALSE())</f>
        <v>#N/A</v>
      </c>
      <c r="K121" s="4" t="n">
        <v>2</v>
      </c>
    </row>
    <row r="122" customFormat="false" ht="15.75" hidden="false" customHeight="false" outlineLevel="0" collapsed="false">
      <c r="A122" s="0" t="n">
        <f aca="false">Parse!A142</f>
        <v>0</v>
      </c>
      <c r="B122" s="0" t="n">
        <f aca="false">Parse!B154</f>
        <v>0</v>
      </c>
      <c r="C122" s="0" t="n">
        <f aca="false">Parse!C154</f>
        <v>0</v>
      </c>
      <c r="D122" s="0" t="n">
        <f aca="false">Parse!D154</f>
        <v>0</v>
      </c>
      <c r="E122" s="7" t="n">
        <f aca="false">Parse!E154</f>
        <v>0</v>
      </c>
      <c r="F122" s="0" t="n">
        <f aca="false">Parse!F154</f>
        <v>0</v>
      </c>
      <c r="G122" s="0" t="n">
        <f aca="false">IFERROR(MID(Parse!G154,SEARCH("vk.com",Parse!G154),LEN(Parse!G154)),Parse!G154)</f>
        <v>0</v>
      </c>
      <c r="H122" s="0" t="n">
        <f aca="false">Parse!H154</f>
        <v>0</v>
      </c>
      <c r="I122" s="0" t="e">
        <f aca="false">VLOOKUP(Parse!I154,$M$1:$N$11,2,FALSE())</f>
        <v>#N/A</v>
      </c>
      <c r="J122" s="0" t="e">
        <f aca="false">VLOOKUP(Parse!J154,$M$1:$N$11,2,FALSE())</f>
        <v>#N/A</v>
      </c>
      <c r="K122" s="4"/>
    </row>
    <row r="123" customFormat="false" ht="15.75" hidden="false" customHeight="false" outlineLevel="0" collapsed="false">
      <c r="A123" s="0" t="n">
        <f aca="false">Parse!A155</f>
        <v>0</v>
      </c>
      <c r="B123" s="0" t="n">
        <f aca="false">Parse!B155</f>
        <v>0</v>
      </c>
      <c r="C123" s="0" t="n">
        <f aca="false">Parse!C155</f>
        <v>0</v>
      </c>
      <c r="D123" s="0" t="n">
        <f aca="false">Parse!D155</f>
        <v>0</v>
      </c>
      <c r="E123" s="7" t="n">
        <f aca="false">Parse!E155</f>
        <v>0</v>
      </c>
      <c r="F123" s="0" t="n">
        <f aca="false">Parse!F155</f>
        <v>0</v>
      </c>
      <c r="G123" s="0" t="n">
        <f aca="false">IFERROR(MID(Parse!G155,SEARCH("vk.com",Parse!G155),LEN(Parse!G155)),Parse!G155)</f>
        <v>0</v>
      </c>
      <c r="H123" s="0" t="n">
        <f aca="false">Parse!H155</f>
        <v>0</v>
      </c>
      <c r="I123" s="0" t="e">
        <f aca="false">VLOOKUP(Parse!I155,$M$1:$N$11,2,FALSE())</f>
        <v>#N/A</v>
      </c>
      <c r="J123" s="0" t="e">
        <f aca="false">VLOOKUP(Parse!J155,$M$1:$N$11,2,FALSE())</f>
        <v>#N/A</v>
      </c>
      <c r="K123" s="4"/>
    </row>
    <row r="124" customFormat="false" ht="15.75" hidden="false" customHeight="false" outlineLevel="0" collapsed="false">
      <c r="A124" s="0" t="n">
        <f aca="false">Parse!A156</f>
        <v>0</v>
      </c>
      <c r="B124" s="0" t="n">
        <f aca="false">Parse!B156</f>
        <v>0</v>
      </c>
      <c r="C124" s="0" t="n">
        <f aca="false">Parse!C156</f>
        <v>0</v>
      </c>
      <c r="D124" s="0" t="n">
        <f aca="false">Parse!D156</f>
        <v>0</v>
      </c>
      <c r="E124" s="7" t="n">
        <f aca="false">Parse!E156</f>
        <v>0</v>
      </c>
      <c r="F124" s="0" t="n">
        <f aca="false">Parse!F156</f>
        <v>0</v>
      </c>
      <c r="G124" s="0" t="n">
        <f aca="false">IFERROR(MID(Parse!G156,SEARCH("vk.com",Parse!G156),LEN(Parse!G156)),Parse!G156)</f>
        <v>0</v>
      </c>
      <c r="H124" s="0" t="n">
        <f aca="false">Parse!H156</f>
        <v>0</v>
      </c>
      <c r="I124" s="0" t="e">
        <f aca="false">VLOOKUP(Parse!I156,$M$1:$N$11,2,FALSE())</f>
        <v>#N/A</v>
      </c>
      <c r="J124" s="0" t="e">
        <f aca="false">VLOOKUP(Parse!J156,$M$1:$N$11,2,FALSE())</f>
        <v>#N/A</v>
      </c>
      <c r="K124" s="4"/>
    </row>
    <row r="125" customFormat="false" ht="15.75" hidden="false" customHeight="false" outlineLevel="0" collapsed="false">
      <c r="A125" s="0" t="n">
        <f aca="false">Parse!A157</f>
        <v>0</v>
      </c>
      <c r="B125" s="0" t="str">
        <f aca="false">Parse!B157</f>
        <v> </v>
      </c>
      <c r="C125" s="0" t="n">
        <f aca="false">Parse!C157</f>
        <v>0</v>
      </c>
      <c r="D125" s="0" t="n">
        <f aca="false">Parse!D157</f>
        <v>0</v>
      </c>
      <c r="E125" s="7" t="n">
        <f aca="false">Parse!E157</f>
        <v>0</v>
      </c>
      <c r="F125" s="0" t="n">
        <f aca="false">Parse!F157</f>
        <v>0</v>
      </c>
      <c r="G125" s="0" t="n">
        <f aca="false">IFERROR(MID(Parse!G157,SEARCH("vk.com",Parse!G157),LEN(Parse!G157)),Parse!G157)</f>
        <v>0</v>
      </c>
      <c r="H125" s="0" t="n">
        <f aca="false">Parse!H157</f>
        <v>0</v>
      </c>
      <c r="I125" s="0" t="e">
        <f aca="false">VLOOKUP(Parse!I157,$M$1:$N$11,2,FALSE())</f>
        <v>#N/A</v>
      </c>
      <c r="J125" s="0" t="e">
        <f aca="false">VLOOKUP(Parse!J157,$M$1:$N$11,2,FALSE())</f>
        <v>#N/A</v>
      </c>
      <c r="K125" s="4"/>
    </row>
    <row r="126" customFormat="false" ht="15.75" hidden="false" customHeight="false" outlineLevel="0" collapsed="false">
      <c r="A126" s="0" t="n">
        <f aca="false">Parse!A158</f>
        <v>0</v>
      </c>
      <c r="B126" s="0" t="n">
        <f aca="false">Parse!B158</f>
        <v>0</v>
      </c>
      <c r="C126" s="0" t="n">
        <f aca="false">Parse!C158</f>
        <v>0</v>
      </c>
      <c r="D126" s="0" t="n">
        <f aca="false">Parse!D158</f>
        <v>0</v>
      </c>
      <c r="E126" s="7" t="n">
        <f aca="false">Parse!E158</f>
        <v>0</v>
      </c>
      <c r="G126" s="0" t="n">
        <f aca="false">IFERROR(MID(Parse!G158,SEARCH("vk.com",Parse!G158),LEN(Parse!G158)),Parse!G158)</f>
        <v>0</v>
      </c>
      <c r="H126" s="0" t="n">
        <f aca="false">Parse!H158</f>
        <v>0</v>
      </c>
      <c r="I126" s="0" t="e">
        <f aca="false">VLOOKUP(Parse!I158,$M$1:$N$11,2,FALSE())</f>
        <v>#N/A</v>
      </c>
      <c r="J126" s="0" t="e">
        <f aca="false">VLOOKUP(Parse!J158,$M$1:$N$11,2,FALSE())</f>
        <v>#N/A</v>
      </c>
      <c r="K126" s="4"/>
    </row>
    <row r="127" customFormat="false" ht="15.75" hidden="false" customHeight="false" outlineLevel="0" collapsed="false">
      <c r="B127" s="0" t="n">
        <f aca="false">Parse!B159</f>
        <v>0</v>
      </c>
      <c r="C127" s="0" t="n">
        <f aca="false">Parse!C159</f>
        <v>0</v>
      </c>
      <c r="D127" s="0" t="n">
        <f aca="false">Parse!D159</f>
        <v>0</v>
      </c>
      <c r="E127" s="7" t="n">
        <f aca="false">Parse!E159</f>
        <v>0</v>
      </c>
      <c r="G127" s="0" t="n">
        <f aca="false">IFERROR(MID(Parse!G159,SEARCH("vk.com",Parse!G159),LEN(Parse!G159)),Parse!G159)</f>
        <v>0</v>
      </c>
      <c r="H127" s="0" t="n">
        <f aca="false">Parse!H159</f>
        <v>0</v>
      </c>
      <c r="I127" s="0" t="e">
        <f aca="false">VLOOKUP(Parse!I159,$M$1:$N$11,2,FALSE())</f>
        <v>#N/A</v>
      </c>
      <c r="J127" s="0" t="e">
        <f aca="false">VLOOKUP(Parse!J159,$M$1:$N$11,2,FALSE())</f>
        <v>#N/A</v>
      </c>
      <c r="K127" s="4"/>
    </row>
    <row r="128" customFormat="false" ht="15.75" hidden="false" customHeight="false" outlineLevel="0" collapsed="false">
      <c r="B128" s="0" t="n">
        <f aca="false">Parse!B160</f>
        <v>0</v>
      </c>
      <c r="C128" s="0" t="n">
        <f aca="false">Parse!C160</f>
        <v>0</v>
      </c>
      <c r="D128" s="0" t="n">
        <f aca="false">Parse!D160</f>
        <v>0</v>
      </c>
      <c r="E128" s="7" t="n">
        <f aca="false">Parse!E160</f>
        <v>0</v>
      </c>
      <c r="G128" s="0" t="n">
        <f aca="false">IFERROR(MID(Parse!G160,SEARCH("vk.com",Parse!G160),LEN(Parse!G160)),Parse!G160)</f>
        <v>0</v>
      </c>
      <c r="H128" s="0" t="n">
        <f aca="false">Parse!H160</f>
        <v>0</v>
      </c>
      <c r="I128" s="0" t="e">
        <f aca="false">VLOOKUP(Parse!I160,$M$1:$N$11,2,FALSE())</f>
        <v>#N/A</v>
      </c>
      <c r="J128" s="0" t="e">
        <f aca="false">VLOOKUP(Parse!J160,$M$1:$N$11,2,FALSE())</f>
        <v>#N/A</v>
      </c>
      <c r="K128" s="4"/>
    </row>
    <row r="129" customFormat="false" ht="15.75" hidden="false" customHeight="false" outlineLevel="0" collapsed="false">
      <c r="C129" s="0" t="n">
        <f aca="false">Parse!C161</f>
        <v>0</v>
      </c>
      <c r="D129" s="0" t="n">
        <f aca="false">Parse!D161</f>
        <v>0</v>
      </c>
      <c r="E129" s="7" t="n">
        <f aca="false">Parse!E161</f>
        <v>0</v>
      </c>
      <c r="G129" s="0" t="n">
        <f aca="false">IFERROR(MID(Parse!G161,SEARCH("vk.com",Parse!G161),LEN(Parse!G161)),Parse!G161)</f>
        <v>0</v>
      </c>
      <c r="H129" s="0" t="n">
        <f aca="false">Parse!H161</f>
        <v>0</v>
      </c>
      <c r="I129" s="0" t="e">
        <f aca="false">VLOOKUP(Parse!I161,$M$1:$N$11,2,FALSE())</f>
        <v>#N/A</v>
      </c>
      <c r="J129" s="0" t="e">
        <f aca="false">VLOOKUP(Parse!J161,$M$1:$N$11,2,FALSE())</f>
        <v>#N/A</v>
      </c>
      <c r="K129" s="4"/>
    </row>
    <row r="130" customFormat="false" ht="15.75" hidden="false" customHeight="false" outlineLevel="0" collapsed="false">
      <c r="C130" s="0" t="n">
        <f aca="false">Parse!C162</f>
        <v>0</v>
      </c>
      <c r="D130" s="0" t="n">
        <f aca="false">Parse!D162</f>
        <v>0</v>
      </c>
      <c r="E130" s="7" t="n">
        <f aca="false">Parse!E162</f>
        <v>0</v>
      </c>
      <c r="G130" s="0" t="n">
        <f aca="false">IFERROR(MID(Parse!G162,SEARCH("vk.com",Parse!G162),LEN(Parse!G162)),Parse!G162)</f>
        <v>0</v>
      </c>
      <c r="H130" s="0" t="n">
        <f aca="false">Parse!H162</f>
        <v>0</v>
      </c>
      <c r="I130" s="0" t="e">
        <f aca="false">VLOOKUP(Parse!I162,$M$1:$N$11,2,FALSE())</f>
        <v>#N/A</v>
      </c>
      <c r="J130" s="0" t="e">
        <f aca="false">VLOOKUP(Parse!J162,$M$1:$N$11,2,FALSE())</f>
        <v>#N/A</v>
      </c>
      <c r="K130" s="4"/>
    </row>
    <row r="131" customFormat="false" ht="15.75" hidden="false" customHeight="false" outlineLevel="0" collapsed="false">
      <c r="C131" s="0" t="n">
        <f aca="false">Parse!C163</f>
        <v>0</v>
      </c>
      <c r="D131" s="0" t="n">
        <f aca="false">Parse!D163</f>
        <v>0</v>
      </c>
      <c r="E131" s="7" t="n">
        <f aca="false">Parse!E163</f>
        <v>0</v>
      </c>
      <c r="G131" s="0" t="n">
        <f aca="false">IFERROR(MID(Parse!G163,SEARCH("vk.com",Parse!G163),LEN(Parse!G163)),Parse!G163)</f>
        <v>0</v>
      </c>
      <c r="H131" s="0" t="n">
        <f aca="false">Parse!H163</f>
        <v>0</v>
      </c>
      <c r="I131" s="0" t="e">
        <f aca="false">VLOOKUP(Parse!I163,$M$1:$N$11,2,FALSE())</f>
        <v>#N/A</v>
      </c>
      <c r="J131" s="0" t="e">
        <f aca="false">VLOOKUP(Parse!J163,$M$1:$N$11,2,FALSE())</f>
        <v>#N/A</v>
      </c>
      <c r="K131" s="4"/>
    </row>
    <row r="132" customFormat="false" ht="15.75" hidden="false" customHeight="false" outlineLevel="0" collapsed="false">
      <c r="C132" s="0" t="n">
        <f aca="false">Parse!C164</f>
        <v>0</v>
      </c>
      <c r="D132" s="0" t="n">
        <f aca="false">Parse!D164</f>
        <v>0</v>
      </c>
      <c r="E132" s="7" t="n">
        <f aca="false">Parse!E164</f>
        <v>0</v>
      </c>
      <c r="G132" s="0" t="n">
        <f aca="false">IFERROR(MID(Parse!G164,SEARCH("vk.com",Parse!G164),LEN(Parse!G164)),Parse!G164)</f>
        <v>0</v>
      </c>
      <c r="H132" s="0" t="n">
        <f aca="false">Parse!H164</f>
        <v>0</v>
      </c>
      <c r="I132" s="0" t="e">
        <f aca="false">VLOOKUP(Parse!I164,$M$1:$N$11,2,FALSE())</f>
        <v>#N/A</v>
      </c>
      <c r="J132" s="0" t="e">
        <f aca="false">VLOOKUP(Parse!J164,$M$1:$N$11,2,FALSE())</f>
        <v>#N/A</v>
      </c>
      <c r="K132" s="4"/>
    </row>
    <row r="133" customFormat="false" ht="15.75" hidden="false" customHeight="false" outlineLevel="0" collapsed="false">
      <c r="C133" s="0" t="n">
        <f aca="false">Parse!C165</f>
        <v>0</v>
      </c>
      <c r="G133" s="0" t="n">
        <f aca="false">IFERROR(MID(Parse!G165,SEARCH("vk.com",Parse!G165),LEN(Parse!G165)),Parse!G165)</f>
        <v>0</v>
      </c>
      <c r="H133" s="0" t="n">
        <f aca="false">Parse!H165</f>
        <v>0</v>
      </c>
      <c r="I133" s="0" t="e">
        <f aca="false">VLOOKUP(Parse!I165,$M$1:$N$11,2,FALSE())</f>
        <v>#N/A</v>
      </c>
      <c r="J133" s="0" t="e">
        <f aca="false">VLOOKUP(Parse!J165,$M$1:$N$11,2,FALSE())</f>
        <v>#N/A</v>
      </c>
      <c r="K133" s="4"/>
    </row>
    <row r="134" customFormat="false" ht="15.75" hidden="false" customHeight="false" outlineLevel="0" collapsed="false">
      <c r="C134" s="0" t="n">
        <f aca="false">Parse!C166</f>
        <v>0</v>
      </c>
      <c r="G134" s="0" t="n">
        <f aca="false">IFERROR(MID(Parse!G166,SEARCH("vk.com",Parse!G166),LEN(Parse!G166)),Parse!G166)</f>
        <v>0</v>
      </c>
      <c r="H134" s="0" t="n">
        <f aca="false">Parse!H166</f>
        <v>0</v>
      </c>
      <c r="I134" s="0" t="e">
        <f aca="false">VLOOKUP(Parse!I166,$M$1:$N$11,2,FALSE())</f>
        <v>#N/A</v>
      </c>
      <c r="J134" s="0" t="e">
        <f aca="false">VLOOKUP(Parse!J166,$M$1:$N$11,2,FALSE())</f>
        <v>#N/A</v>
      </c>
      <c r="K134" s="4"/>
    </row>
    <row r="135" customFormat="false" ht="15.75" hidden="false" customHeight="false" outlineLevel="0" collapsed="false">
      <c r="G135" s="0" t="n">
        <f aca="false">IFERROR(MID(Parse!G167,SEARCH("vk.com",Parse!G167),LEN(Parse!G167)),Parse!G167)</f>
        <v>0</v>
      </c>
      <c r="H135" s="0" t="n">
        <f aca="false">Parse!H167</f>
        <v>0</v>
      </c>
      <c r="I135" s="0" t="e">
        <f aca="false">VLOOKUP(Parse!I167,$M$1:$N$11,2,FALSE())</f>
        <v>#N/A</v>
      </c>
      <c r="J135" s="0" t="e">
        <f aca="false">VLOOKUP(Parse!J167,$M$1:$N$11,2,FALSE())</f>
        <v>#N/A</v>
      </c>
      <c r="K135" s="4"/>
    </row>
    <row r="136" customFormat="false" ht="15.75" hidden="false" customHeight="false" outlineLevel="0" collapsed="false">
      <c r="G136" s="0" t="n">
        <f aca="false">IFERROR(MID(Parse!G168,SEARCH("vk.com",Parse!G168),LEN(Parse!G168)),Parse!G168)</f>
        <v>0</v>
      </c>
      <c r="H136" s="0" t="n">
        <f aca="false">Parse!H168</f>
        <v>0</v>
      </c>
      <c r="I136" s="0" t="e">
        <f aca="false">VLOOKUP(Parse!I168,$M$1:$N$11,2,FALSE())</f>
        <v>#N/A</v>
      </c>
      <c r="J136" s="0" t="e">
        <f aca="false">VLOOKUP(Parse!J168,$M$1:$N$11,2,FALSE())</f>
        <v>#N/A</v>
      </c>
      <c r="K136" s="4"/>
    </row>
    <row r="137" customFormat="false" ht="15.75" hidden="false" customHeight="false" outlineLevel="0" collapsed="false">
      <c r="G137" s="0" t="n">
        <f aca="false">IFERROR(MID(Parse!G169,SEARCH("vk.com",Parse!G169),LEN(Parse!G169)),Parse!G169)</f>
        <v>0</v>
      </c>
      <c r="H137" s="0" t="n">
        <f aca="false">Parse!H169</f>
        <v>0</v>
      </c>
      <c r="I137" s="0" t="e">
        <f aca="false">VLOOKUP(Parse!I169,$M$1:$N$11,2,FALSE())</f>
        <v>#N/A</v>
      </c>
      <c r="J137" s="0" t="e">
        <f aca="false">VLOOKUP(Parse!J169,$M$1:$N$11,2,FALSE())</f>
        <v>#N/A</v>
      </c>
      <c r="K137" s="4"/>
    </row>
    <row r="138" customFormat="false" ht="15.75" hidden="false" customHeight="false" outlineLevel="0" collapsed="false">
      <c r="G138" s="0" t="n">
        <f aca="false">IFERROR(MID(Parse!G170,SEARCH("vk.com",Parse!G170),LEN(Parse!G170)),Parse!G170)</f>
        <v>0</v>
      </c>
      <c r="H138" s="0" t="n">
        <f aca="false">Parse!H170</f>
        <v>0</v>
      </c>
      <c r="I138" s="0" t="e">
        <f aca="false">VLOOKUP(Parse!I170,$M$1:$N$11,2,FALSE())</f>
        <v>#N/A</v>
      </c>
      <c r="J138" s="0" t="e">
        <f aca="false">VLOOKUP(Parse!J170,$M$1:$N$11,2,FALSE())</f>
        <v>#N/A</v>
      </c>
      <c r="K138" s="4"/>
    </row>
    <row r="139" customFormat="false" ht="15.75" hidden="false" customHeight="false" outlineLevel="0" collapsed="false">
      <c r="G139" s="0" t="n">
        <f aca="false">IFERROR(MID(Parse!G171,SEARCH("vk.com",Parse!G171),LEN(Parse!G171)),Parse!G171)</f>
        <v>0</v>
      </c>
      <c r="H139" s="0" t="n">
        <f aca="false">Parse!H171</f>
        <v>0</v>
      </c>
      <c r="I139" s="0" t="e">
        <f aca="false">VLOOKUP(Parse!I171,$M$1:$N$11,2,FALSE())</f>
        <v>#N/A</v>
      </c>
      <c r="J139" s="0" t="e">
        <f aca="false">VLOOKUP(Parse!J171,$M$1:$N$11,2,FALSE())</f>
        <v>#N/A</v>
      </c>
      <c r="K139" s="4"/>
    </row>
    <row r="140" customFormat="false" ht="15.75" hidden="false" customHeight="false" outlineLevel="0" collapsed="false">
      <c r="G140" s="0" t="n">
        <f aca="false">IFERROR(MID(Parse!G172,SEARCH("vk.com",Parse!G172),LEN(Parse!G172)),Parse!G172)</f>
        <v>0</v>
      </c>
      <c r="H140" s="0" t="n">
        <f aca="false">Parse!H172</f>
        <v>0</v>
      </c>
      <c r="I140" s="0" t="e">
        <f aca="false">VLOOKUP(Parse!I172,$M$1:$N$11,2,FALSE())</f>
        <v>#N/A</v>
      </c>
      <c r="J140" s="0" t="e">
        <f aca="false">VLOOKUP(Parse!J172,$M$1:$N$11,2,FALSE())</f>
        <v>#N/A</v>
      </c>
      <c r="K140" s="4"/>
    </row>
    <row r="141" customFormat="false" ht="15.75" hidden="false" customHeight="false" outlineLevel="0" collapsed="false">
      <c r="G141" s="0" t="n">
        <f aca="false">IFERROR(MID(Parse!G173,SEARCH("vk.com",Parse!G173),LEN(Parse!G173)),Parse!G173)</f>
        <v>0</v>
      </c>
      <c r="H141" s="0" t="n">
        <f aca="false">Parse!H173</f>
        <v>0</v>
      </c>
      <c r="I141" s="0" t="e">
        <f aca="false">VLOOKUP(Parse!I173,$M$1:$N$11,2,FALSE())</f>
        <v>#N/A</v>
      </c>
      <c r="J141" s="0" t="e">
        <f aca="false">VLOOKUP(Parse!J173,$M$1:$N$11,2,FALSE())</f>
        <v>#N/A</v>
      </c>
      <c r="K141" s="4"/>
    </row>
    <row r="142" customFormat="false" ht="15.75" hidden="false" customHeight="false" outlineLevel="0" collapsed="false">
      <c r="G142" s="0" t="n">
        <f aca="false">IFERROR(MID(Parse!G174,SEARCH("vk.com",Parse!G174),LEN(Parse!G174)),Parse!G174)</f>
        <v>0</v>
      </c>
      <c r="H142" s="0" t="n">
        <f aca="false">Parse!H174</f>
        <v>0</v>
      </c>
      <c r="I142" s="0" t="e">
        <f aca="false">VLOOKUP(Parse!I174,$M$1:$N$11,2,FALSE())</f>
        <v>#N/A</v>
      </c>
      <c r="J142" s="0" t="e">
        <f aca="false">VLOOKUP(Parse!J174,$M$1:$N$11,2,FALSE())</f>
        <v>#N/A</v>
      </c>
      <c r="K142" s="4"/>
    </row>
    <row r="143" customFormat="false" ht="15.75" hidden="false" customHeight="false" outlineLevel="0" collapsed="false">
      <c r="G143" s="0" t="n">
        <f aca="false">IFERROR(MID(Parse!G175,SEARCH("vk.com",Parse!G175),LEN(Parse!G175)),Parse!G175)</f>
        <v>0</v>
      </c>
      <c r="H143" s="0" t="n">
        <f aca="false">Parse!H175</f>
        <v>0</v>
      </c>
      <c r="I143" s="0" t="e">
        <f aca="false">VLOOKUP(Parse!I175,$M$1:$N$11,2,FALSE())</f>
        <v>#N/A</v>
      </c>
      <c r="J143" s="0" t="e">
        <f aca="false">VLOOKUP(Parse!J175,$M$1:$N$11,2,FALSE())</f>
        <v>#N/A</v>
      </c>
      <c r="K143" s="4"/>
    </row>
    <row r="144" customFormat="false" ht="15.75" hidden="false" customHeight="false" outlineLevel="0" collapsed="false">
      <c r="G144" s="0" t="n">
        <f aca="false">IFERROR(MID(Parse!G176,SEARCH("vk.com",Parse!G176),LEN(Parse!G176)),Parse!G176)</f>
        <v>0</v>
      </c>
      <c r="H144" s="0" t="n">
        <f aca="false">Parse!H176</f>
        <v>0</v>
      </c>
      <c r="I144" s="0" t="e">
        <f aca="false">VLOOKUP(Parse!I176,$M$1:$N$11,2,FALSE())</f>
        <v>#N/A</v>
      </c>
      <c r="J144" s="0" t="e">
        <f aca="false">VLOOKUP(Parse!J176,$M$1:$N$11,2,FALSE())</f>
        <v>#N/A</v>
      </c>
      <c r="K144" s="4"/>
    </row>
    <row r="145" customFormat="false" ht="15.75" hidden="false" customHeight="false" outlineLevel="0" collapsed="false">
      <c r="G145" s="0" t="n">
        <f aca="false">IFERROR(MID(Parse!G177,SEARCH("vk.com",Parse!G177),LEN(Parse!G177)),Parse!G177)</f>
        <v>0</v>
      </c>
      <c r="H145" s="0" t="n">
        <f aca="false">Parse!H177</f>
        <v>0</v>
      </c>
      <c r="I145" s="0" t="e">
        <f aca="false">VLOOKUP(Parse!I177,$M$1:$N$11,2,FALSE())</f>
        <v>#N/A</v>
      </c>
      <c r="J145" s="0" t="e">
        <f aca="false">VLOOKUP(Parse!J177,$M$1:$N$11,2,FALSE())</f>
        <v>#N/A</v>
      </c>
      <c r="K145" s="4"/>
    </row>
    <row r="146" customFormat="false" ht="15.75" hidden="false" customHeight="false" outlineLevel="0" collapsed="false">
      <c r="G146" s="0" t="n">
        <f aca="false">IFERROR(MID(Parse!G178,SEARCH("vk.com",Parse!G178),LEN(Parse!G178)),Parse!G178)</f>
        <v>0</v>
      </c>
      <c r="H146" s="0" t="n">
        <f aca="false">Parse!H178</f>
        <v>0</v>
      </c>
      <c r="I146" s="0" t="e">
        <f aca="false">VLOOKUP(Parse!I178,$M$1:$N$11,2,FALSE())</f>
        <v>#N/A</v>
      </c>
      <c r="J146" s="0" t="e">
        <f aca="false">VLOOKUP(Parse!J178,$M$1:$N$11,2,FALSE())</f>
        <v>#N/A</v>
      </c>
      <c r="K146" s="4"/>
    </row>
    <row r="147" customFormat="false" ht="15.75" hidden="false" customHeight="false" outlineLevel="0" collapsed="false">
      <c r="G147" s="0" t="n">
        <f aca="false">IFERROR(MID(Parse!G179,SEARCH("vk.com",Parse!G179),LEN(Parse!G179)),Parse!G179)</f>
        <v>0</v>
      </c>
      <c r="H147" s="0" t="n">
        <f aca="false">Parse!H179</f>
        <v>0</v>
      </c>
      <c r="J147" s="0" t="e">
        <f aca="false">VLOOKUP(Parse!J179,$M$1:$N$11,2,FALSE())</f>
        <v>#N/A</v>
      </c>
      <c r="K147" s="4"/>
    </row>
    <row r="148" customFormat="false" ht="15.75" hidden="false" customHeight="false" outlineLevel="0" collapsed="false">
      <c r="H148" s="0" t="n">
        <f aca="false">Parse!H180</f>
        <v>0</v>
      </c>
      <c r="J148" s="0" t="e">
        <f aca="false">VLOOKUP(Parse!J180,$M$1:$N$11,2,FALSE())</f>
        <v>#N/A</v>
      </c>
      <c r="K148" s="4"/>
    </row>
    <row r="149" customFormat="false" ht="15.75" hidden="false" customHeight="false" outlineLevel="0" collapsed="false">
      <c r="H149" s="0" t="n">
        <f aca="false">Parse!H181</f>
        <v>0</v>
      </c>
      <c r="J149" s="0" t="e">
        <f aca="false">VLOOKUP(Parse!J181,$M$1:$N$11,2,FALSE())</f>
        <v>#N/A</v>
      </c>
      <c r="K149" s="4"/>
    </row>
    <row r="150" customFormat="false" ht="15.75" hidden="false" customHeight="false" outlineLevel="0" collapsed="false">
      <c r="H150" s="0" t="n">
        <f aca="false">Parse!H182</f>
        <v>0</v>
      </c>
      <c r="J150" s="0" t="e">
        <f aca="false">VLOOKUP(Parse!J182,$M$1:$N$11,2,FALSE())</f>
        <v>#N/A</v>
      </c>
      <c r="K150" s="4"/>
    </row>
    <row r="151" customFormat="false" ht="15.75" hidden="false" customHeight="false" outlineLevel="0" collapsed="false">
      <c r="H151" s="0" t="n">
        <f aca="false">Parse!H183</f>
        <v>0</v>
      </c>
      <c r="J151" s="0" t="e">
        <f aca="false">VLOOKUP(Parse!J183,$M$1:$N$11,2,FALSE())</f>
        <v>#N/A</v>
      </c>
      <c r="K151" s="4"/>
    </row>
    <row r="152" customFormat="false" ht="15.75" hidden="false" customHeight="false" outlineLevel="0" collapsed="false">
      <c r="J152" s="0" t="e">
        <f aca="false">VLOOKUP(Parse!J184,$M$1:$N$11,2,FALSE())</f>
        <v>#N/A</v>
      </c>
      <c r="K152" s="4"/>
    </row>
    <row r="153" customFormat="false" ht="15.75" hidden="false" customHeight="false" outlineLevel="0" collapsed="false">
      <c r="J153" s="0" t="e">
        <f aca="false">VLOOKUP(Parse!J185,$M$1:$N$11,2,FALSE())</f>
        <v>#N/A</v>
      </c>
      <c r="K153" s="4"/>
    </row>
    <row r="154" customFormat="false" ht="15.75" hidden="false" customHeight="false" outlineLevel="0" collapsed="false">
      <c r="J154" s="0" t="e">
        <f aca="false">VLOOKUP(Parse!J186,$M$1:$N$11,2,FALSE())</f>
        <v>#N/A</v>
      </c>
      <c r="K154" s="4"/>
    </row>
    <row r="155" customFormat="false" ht="15.75" hidden="false" customHeight="false" outlineLevel="0" collapsed="false">
      <c r="J155" s="0" t="e">
        <f aca="false">VLOOKUP(Parse!J187,$M$1:$N$11,2,FALSE())</f>
        <v>#N/A</v>
      </c>
      <c r="K155" s="4"/>
    </row>
    <row r="156" customFormat="false" ht="15.75" hidden="false" customHeight="false" outlineLevel="0" collapsed="false">
      <c r="J156" s="0" t="e">
        <f aca="false">VLOOKUP(Parse!J188,$M$1:$N$11,2,FALSE())</f>
        <v>#N/A</v>
      </c>
      <c r="K156" s="4"/>
    </row>
    <row r="157" customFormat="false" ht="15.75" hidden="false" customHeight="false" outlineLevel="0" collapsed="false">
      <c r="J157" s="0" t="e">
        <f aca="false">VLOOKUP(Parse!J189,$M$1:$N$11,2,FALSE())</f>
        <v>#N/A</v>
      </c>
      <c r="K157" s="4"/>
    </row>
    <row r="158" customFormat="false" ht="15.75" hidden="false" customHeight="false" outlineLevel="0" collapsed="false">
      <c r="J158" s="0" t="e">
        <f aca="false">VLOOKUP(Parse!J190,$M$1:$N$11,2,FALSE())</f>
        <v>#N/A</v>
      </c>
      <c r="K158" s="4"/>
    </row>
    <row r="159" customFormat="false" ht="15.75" hidden="false" customHeight="false" outlineLevel="0" collapsed="false">
      <c r="J159" s="0" t="e">
        <f aca="false">VLOOKUP(Parse!J191,$M$1:$N$11,2,FALSE())</f>
        <v>#N/A</v>
      </c>
      <c r="K159" s="4"/>
    </row>
    <row r="160" customFormat="false" ht="15.75" hidden="false" customHeight="false" outlineLevel="0" collapsed="false">
      <c r="J160" s="0" t="e">
        <f aca="false">VLOOKUP(Parse!J192,$M$1:$N$11,2,FALSE())</f>
        <v>#N/A</v>
      </c>
      <c r="K160" s="4"/>
    </row>
    <row r="161" customFormat="false" ht="15.75" hidden="false" customHeight="false" outlineLevel="0" collapsed="false">
      <c r="J161" s="0" t="e">
        <f aca="false">VLOOKUP(Parse!J193,$M$1:$N$11,2,FALSE())</f>
        <v>#N/A</v>
      </c>
      <c r="K161" s="4"/>
    </row>
    <row r="162" customFormat="false" ht="15.75" hidden="false" customHeight="false" outlineLevel="0" collapsed="false">
      <c r="J162" s="0" t="e">
        <f aca="false">VLOOKUP(Parse!J194,$M$1:$N$11,2,FALSE())</f>
        <v>#N/A</v>
      </c>
      <c r="K162" s="4"/>
    </row>
    <row r="163" customFormat="false" ht="15.75" hidden="false" customHeight="false" outlineLevel="0" collapsed="false">
      <c r="J163" s="0" t="e">
        <f aca="false">VLOOKUP(Parse!J195,$M$1:$N$11,2,FALSE())</f>
        <v>#N/A</v>
      </c>
      <c r="K163" s="4"/>
    </row>
    <row r="164" customFormat="false" ht="15.75" hidden="false" customHeight="false" outlineLevel="0" collapsed="false">
      <c r="J164" s="0" t="e">
        <f aca="false">VLOOKUP(Parse!J196,$M$1:$N$11,2,FALSE())</f>
        <v>#N/A</v>
      </c>
      <c r="K164" s="4"/>
    </row>
    <row r="165" customFormat="false" ht="15.75" hidden="false" customHeight="false" outlineLevel="0" collapsed="false">
      <c r="J165" s="0" t="e">
        <f aca="false">VLOOKUP(Parse!J197,$M$1:$N$11,2,FALSE())</f>
        <v>#N/A</v>
      </c>
      <c r="K165" s="4"/>
    </row>
    <row r="166" customFormat="false" ht="15.75" hidden="false" customHeight="false" outlineLevel="0" collapsed="false">
      <c r="J166" s="0" t="e">
        <f aca="false">VLOOKUP(Parse!J198,$M$1:$N$11,2,FALSE())</f>
        <v>#N/A</v>
      </c>
      <c r="K166" s="4"/>
    </row>
    <row r="167" customFormat="false" ht="15.75" hidden="false" customHeight="false" outlineLevel="0" collapsed="false">
      <c r="J167" s="0" t="e">
        <f aca="false">VLOOKUP(Parse!J199,$M$1:$N$11,2,FALSE())</f>
        <v>#N/A</v>
      </c>
      <c r="K167" s="4"/>
    </row>
    <row r="168" customFormat="false" ht="15.75" hidden="false" customHeight="false" outlineLevel="0" collapsed="false">
      <c r="J168" s="0" t="e">
        <f aca="false">VLOOKUP(Parse!J200,$M$1:$N$11,2,FALSE())</f>
        <v>#N/A</v>
      </c>
      <c r="K168" s="4"/>
    </row>
    <row r="169" customFormat="false" ht="15.75" hidden="false" customHeight="false" outlineLevel="0" collapsed="false">
      <c r="J169" s="0" t="e">
        <f aca="false">VLOOKUP(Parse!J201,$M$1:$N$11,2,FALSE())</f>
        <v>#N/A</v>
      </c>
      <c r="K169" s="4"/>
    </row>
    <row r="170" customFormat="false" ht="15.75" hidden="false" customHeight="false" outlineLevel="0" collapsed="false">
      <c r="J170" s="0" t="e">
        <f aca="false">VLOOKUP(Parse!J202,$M$1:$N$11,2,FALSE())</f>
        <v>#N/A</v>
      </c>
    </row>
    <row r="171" customFormat="false" ht="15.75" hidden="false" customHeight="false" outlineLevel="0" collapsed="false">
      <c r="J171" s="0" t="e">
        <f aca="false">VLOOKUP(Parse!J203,$M$1:$N$11,2,FALSE())</f>
        <v>#N/A</v>
      </c>
    </row>
    <row r="172" customFormat="false" ht="15.75" hidden="false" customHeight="false" outlineLevel="0" collapsed="false">
      <c r="J172" s="0" t="e">
        <f aca="false">VLOOKUP(Parse!J204,$M$1:$N$11,2,FALSE())</f>
        <v>#N/A</v>
      </c>
    </row>
    <row r="173" customFormat="false" ht="15.75" hidden="false" customHeight="false" outlineLevel="0" collapsed="false">
      <c r="J173" s="0" t="e">
        <f aca="false">VLOOKUP(Parse!J205,$M$1:$N$11,2,FALSE())</f>
        <v>#N/A</v>
      </c>
    </row>
    <row r="174" customFormat="false" ht="15.75" hidden="false" customHeight="false" outlineLevel="0" collapsed="false">
      <c r="J174" s="0" t="e">
        <f aca="false">VLOOKUP(Parse!J206,$M$1:$N$11,2,FALSE())</f>
        <v>#N/A</v>
      </c>
    </row>
    <row r="175" customFormat="false" ht="15.75" hidden="false" customHeight="false" outlineLevel="0" collapsed="false">
      <c r="J175" s="0" t="e">
        <f aca="false">VLOOKUP(Parse!J207,$M$1:$N$11,2,FALSE())</f>
        <v>#N/A</v>
      </c>
    </row>
  </sheetData>
  <mergeCells count="10"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</mergeCells>
  <conditionalFormatting sqref="K2:K169">
    <cfRule type="cellIs" priority="2" operator="lessThan" aboveAverage="0" equalAverage="0" bottom="0" percent="0" rank="0" text="" dxfId="0">
      <formula>0</formula>
    </cfRule>
  </conditionalFormatting>
  <hyperlinks>
    <hyperlink ref="G54" r:id="rId2" display="https://vk.com/id24300248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sheetData>
    <row r="1" customFormat="false" ht="15.75" hidden="false" customHeight="false" outlineLevel="0" collapsed="false">
      <c r="A1" s="4" t="s">
        <v>37</v>
      </c>
      <c r="B1" s="4" t="s">
        <v>38</v>
      </c>
      <c r="J1" s="4"/>
    </row>
    <row r="2" customFormat="false" ht="15.75" hidden="false" customHeight="false" outlineLevel="0" collapsed="false">
      <c r="A2" s="25" t="n">
        <f aca="false">IF('Переформатированный ответ'!A2="","",DATE(2017,MONTH('Переформатированный ответ'!A2),DAY('Переформатированный ответ'!A2)))</f>
        <v>42857</v>
      </c>
      <c r="B2" s="0" t="n">
        <f aca="false">IF('Переформатированный ответ'!A2 = "","",HOUR('Переформатированный ответ'!A2))</f>
        <v>16</v>
      </c>
      <c r="C2" s="4" t="n">
        <v>0</v>
      </c>
      <c r="D2" s="0" t="n">
        <f aca="false">COUNTIF($B$2:$B$100,C2)</f>
        <v>0</v>
      </c>
      <c r="J2" s="16"/>
      <c r="K2" s="26"/>
      <c r="N2" s="27" t="s">
        <v>39</v>
      </c>
      <c r="O2" s="0" t="n">
        <f aca="false">IFERROR(__xludf.dummyfunction("counta(arrayformula(iferror(search(N2,FILTER('Переформатированный ответ'!$E$2:$E$184,'Переформатированный ответ'!$K$2:$K$184&gt;-1)))))"),47)</f>
        <v>47</v>
      </c>
    </row>
    <row r="3" customFormat="false" ht="15.75" hidden="false" customHeight="false" outlineLevel="0" collapsed="false">
      <c r="A3" s="25" t="n">
        <f aca="false">IF('Переформатированный ответ'!A3="","",DATE(2017,MONTH('Переформатированный ответ'!A3),DAY('Переформатированный ответ'!A3)))</f>
        <v>42857</v>
      </c>
      <c r="B3" s="0" t="n">
        <f aca="false">IF('Переформатированный ответ'!A3 = "","",HOUR('Переформатированный ответ'!A3))</f>
        <v>16</v>
      </c>
      <c r="C3" s="4" t="n">
        <v>1</v>
      </c>
      <c r="D3" s="0" t="n">
        <f aca="false">COUNTIF($B$2:$B$100,C3)</f>
        <v>0</v>
      </c>
      <c r="J3" s="16"/>
      <c r="K3" s="26"/>
      <c r="N3" s="27" t="s">
        <v>40</v>
      </c>
      <c r="O3" s="0" t="n">
        <f aca="false">IFERROR(__xludf.dummyfunction("counta(arrayformula(iferror(search(N3,FILTER('Переформатированный ответ'!$E$2:$E$184,'Переформатированный ответ'!$K$2:$K$184&gt;-1)))))"),17)</f>
        <v>17</v>
      </c>
    </row>
    <row r="4" customFormat="false" ht="15.75" hidden="false" customHeight="false" outlineLevel="0" collapsed="false">
      <c r="A4" s="25" t="n">
        <f aca="false">IF('Переформатированный ответ'!A4="","",DATE(2017,MONTH('Переформатированный ответ'!A4),DAY('Переформатированный ответ'!A4)))</f>
        <v>42857</v>
      </c>
      <c r="B4" s="0" t="n">
        <f aca="false">IF('Переформатированный ответ'!A4 = "","",HOUR('Переформатированный ответ'!A4))</f>
        <v>16</v>
      </c>
      <c r="C4" s="4" t="n">
        <v>2</v>
      </c>
      <c r="D4" s="0" t="n">
        <f aca="false">COUNTIF($B$2:$B$100,C4)</f>
        <v>0</v>
      </c>
      <c r="N4" s="27" t="s">
        <v>41</v>
      </c>
      <c r="O4" s="0" t="n">
        <f aca="false">IFERROR(__xludf.dummyfunction("counta(arrayformula(iferror(search(N4,FILTER('Переформатированный ответ'!$E$2:$E$184,'Переформатированный ответ'!$K$2:$K$184&gt;-1)))))"),3)</f>
        <v>3</v>
      </c>
    </row>
    <row r="5" customFormat="false" ht="15.75" hidden="false" customHeight="false" outlineLevel="0" collapsed="false">
      <c r="A5" s="25" t="n">
        <f aca="false">IF('Переформатированный ответ'!A5="","",DATE(2017,MONTH('Переформатированный ответ'!A5),DAY('Переформатированный ответ'!A5)))</f>
        <v>42857</v>
      </c>
      <c r="B5" s="0" t="n">
        <f aca="false">IF('Переформатированный ответ'!A5 = "","",HOUR('Переформатированный ответ'!A5))</f>
        <v>16</v>
      </c>
      <c r="C5" s="4" t="n">
        <v>3</v>
      </c>
      <c r="D5" s="0" t="n">
        <f aca="false">COUNTIF($B$2:$B$100,C5)</f>
        <v>0</v>
      </c>
      <c r="N5" s="27" t="s">
        <v>42</v>
      </c>
      <c r="O5" s="0" t="n">
        <f aca="false">IFERROR(__xludf.dummyfunction("COUNTA(FILTER('Переформатированный ответ'!$E$2:$E$184,'Переформатированный ответ'!$K$2:$K$184&gt;-1))-SUM(O2:O4)"),44)</f>
        <v>44</v>
      </c>
    </row>
    <row r="6" customFormat="false" ht="15.75" hidden="false" customHeight="false" outlineLevel="0" collapsed="false">
      <c r="A6" s="25" t="n">
        <f aca="false">IF('Переформатированный ответ'!A6="","",DATE(2017,MONTH('Переформатированный ответ'!A6),DAY('Переформатированный ответ'!A6)))</f>
        <v>42857</v>
      </c>
      <c r="B6" s="0" t="n">
        <f aca="false">IF('Переформатированный ответ'!A6 = "","",HOUR('Переформатированный ответ'!A6))</f>
        <v>16</v>
      </c>
      <c r="C6" s="4" t="n">
        <v>4</v>
      </c>
      <c r="D6" s="0" t="n">
        <f aca="false">COUNTIF($B$2:$B$100,C6)</f>
        <v>1</v>
      </c>
    </row>
    <row r="7" customFormat="false" ht="15.75" hidden="false" customHeight="false" outlineLevel="0" collapsed="false">
      <c r="A7" s="25" t="n">
        <f aca="false">IF('Переформатированный ответ'!A7="","",DATE(2017,MONTH('Переформатированный ответ'!A7),DAY('Переформатированный ответ'!A7)))</f>
        <v>42857</v>
      </c>
      <c r="B7" s="0" t="n">
        <f aca="false">IF('Переформатированный ответ'!A7 = "","",HOUR('Переформатированный ответ'!A7))</f>
        <v>17</v>
      </c>
      <c r="C7" s="4" t="n">
        <v>5</v>
      </c>
      <c r="D7" s="0" t="n">
        <f aca="false">COUNTIF($B$2:$B$100,C7)</f>
        <v>3</v>
      </c>
      <c r="N7" s="4" t="n">
        <v>6</v>
      </c>
      <c r="O7" s="0" t="n">
        <f aca="false">IFERROR(__xludf.dummyfunction("COUNTIF(FILTER('Переформатированный ответ'!$D$2:$D$184,'Переформатированный ответ'!$K$2:$K$184&gt;-1),N7)"),1)</f>
        <v>1</v>
      </c>
    </row>
    <row r="8" customFormat="false" ht="15.75" hidden="false" customHeight="false" outlineLevel="0" collapsed="false">
      <c r="A8" s="25" t="n">
        <f aca="false">IF('Переформатированный ответ'!A8="","",DATE(2017,MONTH('Переформатированный ответ'!A8),DAY('Переформатированный ответ'!A8)))</f>
        <v>42857</v>
      </c>
      <c r="B8" s="0" t="n">
        <f aca="false">IF('Переформатированный ответ'!A8 = "","",HOUR('Переформатированный ответ'!A8))</f>
        <v>19</v>
      </c>
      <c r="C8" s="4" t="n">
        <v>6</v>
      </c>
      <c r="D8" s="0" t="n">
        <f aca="false">COUNTIF($B$2:$B$100,C8)</f>
        <v>2</v>
      </c>
      <c r="N8" s="4" t="n">
        <v>7</v>
      </c>
      <c r="O8" s="0" t="n">
        <f aca="false">IFERROR(__xludf.dummyfunction("COUNTIF(FILTER('Переформатированный ответ'!$D$2:$D$184,'Переформатированный ответ'!$K$2:$K$184&gt;-1),N8)"),27)</f>
        <v>27</v>
      </c>
    </row>
    <row r="9" customFormat="false" ht="15.75" hidden="false" customHeight="false" outlineLevel="0" collapsed="false">
      <c r="A9" s="25" t="n">
        <f aca="false">IF('Переформатированный ответ'!A9="","",DATE(2017,MONTH('Переформатированный ответ'!A9),DAY('Переформатированный ответ'!A9)))</f>
        <v>42857</v>
      </c>
      <c r="B9" s="0" t="n">
        <f aca="false">IF('Переформатированный ответ'!A9 = "","",HOUR('Переформатированный ответ'!A9))</f>
        <v>20</v>
      </c>
      <c r="C9" s="4" t="n">
        <v>7</v>
      </c>
      <c r="D9" s="0" t="n">
        <f aca="false">COUNTIF($B$2:$B$100,C9)</f>
        <v>4</v>
      </c>
      <c r="N9" s="4" t="n">
        <v>8</v>
      </c>
      <c r="O9" s="0" t="n">
        <f aca="false">IFERROR(__xludf.dummyfunction("COUNTIF(FILTER('Переформатированный ответ'!$D$2:$D$184,'Переформатированный ответ'!$K$2:$K$184&gt;-1),N9)"),18)</f>
        <v>18</v>
      </c>
    </row>
    <row r="10" customFormat="false" ht="15.75" hidden="false" customHeight="false" outlineLevel="0" collapsed="false">
      <c r="A10" s="25" t="n">
        <f aca="false">IF('Переформатированный ответ'!A10="","",DATE(2017,MONTH('Переформатированный ответ'!A10),DAY('Переформатированный ответ'!A10)))</f>
        <v>42857</v>
      </c>
      <c r="B10" s="0" t="n">
        <f aca="false">IF('Переформатированный ответ'!A10 = "","",HOUR('Переформатированный ответ'!A10))</f>
        <v>22</v>
      </c>
      <c r="C10" s="4" t="n">
        <v>8</v>
      </c>
      <c r="D10" s="0" t="n">
        <f aca="false">COUNTIF($B$2:$B$100,C10)</f>
        <v>2</v>
      </c>
      <c r="N10" s="4" t="n">
        <v>9</v>
      </c>
      <c r="O10" s="0" t="n">
        <f aca="false">IFERROR(__xludf.dummyfunction("COUNTIF(FILTER('Переформатированный ответ'!$D$2:$D$184,'Переформатированный ответ'!$K$2:$K$184&gt;-1),N10)"),24)</f>
        <v>24</v>
      </c>
    </row>
    <row r="11" customFormat="false" ht="15.75" hidden="false" customHeight="false" outlineLevel="0" collapsed="false">
      <c r="A11" s="25" t="n">
        <f aca="false">IF('Переформатированный ответ'!A11="","",DATE(2017,MONTH('Переформатированный ответ'!A11),DAY('Переформатированный ответ'!A11)))</f>
        <v>42858</v>
      </c>
      <c r="B11" s="0" t="n">
        <f aca="false">IF('Переформатированный ответ'!A11 = "","",HOUR('Переформатированный ответ'!A11))</f>
        <v>5</v>
      </c>
      <c r="C11" s="4" t="n">
        <v>9</v>
      </c>
      <c r="D11" s="0" t="n">
        <f aca="false">COUNTIF($B$2:$B$100,C11)</f>
        <v>1</v>
      </c>
      <c r="N11" s="4" t="n">
        <v>10</v>
      </c>
      <c r="O11" s="0" t="n">
        <f aca="false">IFERROR(__xludf.dummyfunction("COUNTIF(FILTER('Переформатированный ответ'!$D$2:$D$184,'Переформатированный ответ'!$K$2:$K$184&gt;-1),N11)"),35)</f>
        <v>35</v>
      </c>
    </row>
    <row r="12" customFormat="false" ht="15.75" hidden="false" customHeight="false" outlineLevel="0" collapsed="false">
      <c r="A12" s="25" t="n">
        <f aca="false">IF('Переформатированный ответ'!A12="","",DATE(2017,MONTH('Переформатированный ответ'!A12),DAY('Переформатированный ответ'!A12)))</f>
        <v>42858</v>
      </c>
      <c r="B12" s="0" t="n">
        <f aca="false">IF('Переформатированный ответ'!A12 = "","",HOUR('Переформатированный ответ'!A12))</f>
        <v>14</v>
      </c>
      <c r="C12" s="4" t="n">
        <v>10</v>
      </c>
      <c r="D12" s="0" t="n">
        <f aca="false">COUNTIF($B$2:$B$100,C12)</f>
        <v>1</v>
      </c>
      <c r="N12" s="4" t="n">
        <v>11</v>
      </c>
      <c r="O12" s="0" t="n">
        <f aca="false">IFERROR(__xludf.dummyfunction("COUNTIF(FILTER('Переформатированный ответ'!$D$2:$D$184,'Переформатированный ответ'!$K$2:$K$184&gt;-1),N12)"),5)</f>
        <v>5</v>
      </c>
    </row>
    <row r="13" customFormat="false" ht="15.75" hidden="false" customHeight="false" outlineLevel="0" collapsed="false">
      <c r="A13" s="25" t="n">
        <f aca="false">IF('Переформатированный ответ'!A13="","",DATE(2017,MONTH('Переформатированный ответ'!A13),DAY('Переформатированный ответ'!A13)))</f>
        <v>42858</v>
      </c>
      <c r="B13" s="0" t="n">
        <f aca="false">IF('Переформатированный ответ'!A13 = "","",HOUR('Переформатированный ответ'!A13))</f>
        <v>18</v>
      </c>
      <c r="C13" s="4" t="n">
        <v>11</v>
      </c>
      <c r="D13" s="0" t="n">
        <f aca="false">COUNTIF($B$2:$B$100,C13)</f>
        <v>3</v>
      </c>
    </row>
    <row r="14" customFormat="false" ht="15.75" hidden="false" customHeight="false" outlineLevel="0" collapsed="false">
      <c r="A14" s="25" t="n">
        <f aca="false">IF('Переформатированный ответ'!A14="","",DATE(2017,MONTH('Переформатированный ответ'!A14),DAY('Переформатированный ответ'!A14)))</f>
        <v>42858</v>
      </c>
      <c r="B14" s="0" t="n">
        <f aca="false">IF('Переформатированный ответ'!A14 = "","",HOUR('Переформатированный ответ'!A14))</f>
        <v>18</v>
      </c>
      <c r="C14" s="4" t="n">
        <v>12</v>
      </c>
      <c r="D14" s="0" t="n">
        <f aca="false">COUNTIF($B$2:$B$100,C14)</f>
        <v>2</v>
      </c>
      <c r="N14" s="4" t="s">
        <v>43</v>
      </c>
      <c r="O14" s="0" t="n">
        <f aca="false">COUNTIF('Переформатированный ответ'!$K$2:$K$184,"=-1")</f>
        <v>0</v>
      </c>
    </row>
    <row r="15" customFormat="false" ht="15.75" hidden="false" customHeight="false" outlineLevel="0" collapsed="false">
      <c r="A15" s="25" t="n">
        <f aca="false">IF('Переформатированный ответ'!A15="","",DATE(2017,MONTH('Переформатированный ответ'!A15),DAY('Переформатированный ответ'!A15)))</f>
        <v>42858</v>
      </c>
      <c r="B15" s="0" t="n">
        <f aca="false">IF('Переформатированный ответ'!A15 = "","",HOUR('Переформатированный ответ'!A15))</f>
        <v>18</v>
      </c>
      <c r="C15" s="4" t="n">
        <v>13</v>
      </c>
      <c r="D15" s="0" t="n">
        <f aca="false">COUNTIF($B$2:$B$100,C15)</f>
        <v>3</v>
      </c>
      <c r="N15" s="4" t="s">
        <v>44</v>
      </c>
      <c r="O15" s="0" t="n">
        <f aca="false">COUNTIF('Переформатированный ответ'!$K$2:$K$184,"=0")</f>
        <v>1</v>
      </c>
    </row>
    <row r="16" customFormat="false" ht="15.75" hidden="false" customHeight="false" outlineLevel="0" collapsed="false">
      <c r="A16" s="0" t="e">
        <f aca="false">IF(#REF!="","",DATE(2017,MONTH(#REF!),DAY(#REF!)))</f>
        <v>#REF!</v>
      </c>
      <c r="B16" s="0" t="e">
        <f aca="false">IF(#REF! = "","",HOUR(#REF!))</f>
        <v>#REF!</v>
      </c>
      <c r="C16" s="4" t="n">
        <v>14</v>
      </c>
      <c r="D16" s="0" t="n">
        <f aca="false">COUNTIF($B$2:$B$100,C16)</f>
        <v>5</v>
      </c>
      <c r="N16" s="4" t="s">
        <v>45</v>
      </c>
      <c r="O16" s="0" t="n">
        <f aca="false">COUNTIF('Переформатированный ответ'!$K$2:$K$184,"=1")</f>
        <v>6</v>
      </c>
    </row>
    <row r="17" customFormat="false" ht="15.75" hidden="false" customHeight="false" outlineLevel="0" collapsed="false">
      <c r="A17" s="25" t="n">
        <f aca="false">IF('Переформатированный ответ'!A16="","",DATE(2017,MONTH('Переформатированный ответ'!A16),DAY('Переформатированный ответ'!A16)))</f>
        <v>42858</v>
      </c>
      <c r="B17" s="0" t="n">
        <f aca="false">IF('Переформатированный ответ'!A16 = "","",HOUR('Переформатированный ответ'!A16))</f>
        <v>19</v>
      </c>
      <c r="C17" s="4" t="n">
        <v>15</v>
      </c>
      <c r="D17" s="0" t="n">
        <f aca="false">COUNTIF($B$2:$B$100,C17)</f>
        <v>3</v>
      </c>
      <c r="N17" s="4" t="s">
        <v>46</v>
      </c>
      <c r="O17" s="0" t="n">
        <f aca="false">COUNTIF('Переформатированный ответ'!$K$2:$K$184,"=2")</f>
        <v>112</v>
      </c>
    </row>
    <row r="18" customFormat="false" ht="15.75" hidden="false" customHeight="false" outlineLevel="0" collapsed="false">
      <c r="A18" s="25" t="n">
        <f aca="false">IF('Переформатированный ответ'!A17="","",DATE(2017,MONTH('Переформатированный ответ'!A17),DAY('Переформатированный ответ'!A17)))</f>
        <v>42858</v>
      </c>
      <c r="B18" s="0" t="n">
        <f aca="false">IF('Переформатированный ответ'!A17 = "","",HOUR('Переформатированный ответ'!A17))</f>
        <v>19</v>
      </c>
      <c r="C18" s="4" t="n">
        <v>16</v>
      </c>
      <c r="D18" s="0" t="n">
        <f aca="false">COUNTIF($B$2:$B$100,C18)</f>
        <v>10</v>
      </c>
    </row>
    <row r="19" customFormat="false" ht="15.75" hidden="false" customHeight="false" outlineLevel="0" collapsed="false">
      <c r="A19" s="25" t="n">
        <f aca="false">IF('Переформатированный ответ'!A18="","",DATE(2017,MONTH('Переформатированный ответ'!A18),DAY('Переформатированный ответ'!A18)))</f>
        <v>42858</v>
      </c>
      <c r="B19" s="0" t="n">
        <f aca="false">IF('Переформатированный ответ'!A18 = "","",HOUR('Переформатированный ответ'!A18))</f>
        <v>20</v>
      </c>
      <c r="C19" s="4" t="n">
        <v>17</v>
      </c>
      <c r="D19" s="0" t="n">
        <f aca="false">COUNTIF($B$2:$B$100,C19)</f>
        <v>8</v>
      </c>
    </row>
    <row r="20" customFormat="false" ht="15.75" hidden="false" customHeight="false" outlineLevel="0" collapsed="false">
      <c r="A20" s="25" t="n">
        <f aca="false">IF('Переформатированный ответ'!A19="","",DATE(2017,MONTH('Переформатированный ответ'!A19),DAY('Переформатированный ответ'!A19)))</f>
        <v>42858</v>
      </c>
      <c r="B20" s="0" t="n">
        <f aca="false">IF('Переформатированный ответ'!A19 = "","",HOUR('Переформатированный ответ'!A19))</f>
        <v>20</v>
      </c>
      <c r="C20" s="4" t="n">
        <v>18</v>
      </c>
      <c r="D20" s="0" t="n">
        <f aca="false">COUNTIF($B$2:$B$100,C20)</f>
        <v>14</v>
      </c>
    </row>
    <row r="21" customFormat="false" ht="15.75" hidden="false" customHeight="false" outlineLevel="0" collapsed="false">
      <c r="A21" s="0" t="e">
        <f aca="false">IF(#REF!="","",DATE(2017,MONTH(#REF!),DAY(#REF!)))</f>
        <v>#REF!</v>
      </c>
      <c r="B21" s="0" t="e">
        <f aca="false">IF(#REF! = "","",HOUR(#REF!))</f>
        <v>#REF!</v>
      </c>
      <c r="C21" s="4" t="n">
        <v>19</v>
      </c>
      <c r="D21" s="0" t="n">
        <f aca="false">COUNTIF($B$2:$B$100,C21)</f>
        <v>6</v>
      </c>
    </row>
    <row r="22" customFormat="false" ht="15.75" hidden="false" customHeight="false" outlineLevel="0" collapsed="false">
      <c r="A22" s="25" t="n">
        <f aca="false">IF('Переформатированный ответ'!A20="","",DATE(2017,MONTH('Переформатированный ответ'!A20),DAY('Переформатированный ответ'!A20)))</f>
        <v>42859</v>
      </c>
      <c r="B22" s="0" t="n">
        <f aca="false">IF('Переформатированный ответ'!A20 = "","",HOUR('Переформатированный ответ'!A20))</f>
        <v>16</v>
      </c>
      <c r="C22" s="4" t="n">
        <v>20</v>
      </c>
      <c r="D22" s="0" t="n">
        <f aca="false">COUNTIF($B$2:$B$100,C22)</f>
        <v>8</v>
      </c>
    </row>
    <row r="23" customFormat="false" ht="15.75" hidden="false" customHeight="false" outlineLevel="0" collapsed="false">
      <c r="A23" s="25" t="n">
        <f aca="false">IF('Переформатированный ответ'!A21="","",DATE(2017,MONTH('Переформатированный ответ'!A21),DAY('Переформатированный ответ'!A21)))</f>
        <v>42860</v>
      </c>
      <c r="B23" s="0" t="n">
        <f aca="false">IF('Переформатированный ответ'!A21 = "","",HOUR('Переформатированный ответ'!A21))</f>
        <v>4</v>
      </c>
      <c r="C23" s="4" t="n">
        <v>21</v>
      </c>
      <c r="D23" s="0" t="n">
        <f aca="false">COUNTIF($B$2:$B$100,C23)</f>
        <v>2</v>
      </c>
    </row>
    <row r="24" customFormat="false" ht="15.75" hidden="false" customHeight="false" outlineLevel="0" collapsed="false">
      <c r="A24" s="25" t="n">
        <f aca="false">IF('Переформатированный ответ'!A22="","",DATE(2017,MONTH('Переформатированный ответ'!A22),DAY('Переформатированный ответ'!A22)))</f>
        <v>42860</v>
      </c>
      <c r="B24" s="0" t="n">
        <f aca="false">IF('Переформатированный ответ'!A22 = "","",HOUR('Переформатированный ответ'!A22))</f>
        <v>15</v>
      </c>
      <c r="C24" s="4" t="n">
        <v>22</v>
      </c>
      <c r="D24" s="0" t="n">
        <f aca="false">COUNTIF($B$2:$B$100,C24)</f>
        <v>2</v>
      </c>
    </row>
    <row r="25" customFormat="false" ht="15.75" hidden="false" customHeight="false" outlineLevel="0" collapsed="false">
      <c r="A25" s="0" t="e">
        <f aca="false">IF(#REF!="","",DATE(2017,MONTH(#REF!),DAY(#REF!)))</f>
        <v>#REF!</v>
      </c>
      <c r="B25" s="0" t="e">
        <f aca="false">IF(#REF! = "","",HOUR(#REF!))</f>
        <v>#REF!</v>
      </c>
      <c r="C25" s="4" t="n">
        <v>23</v>
      </c>
      <c r="D25" s="0" t="n">
        <f aca="false">COUNTIF($B$2:$B$100,C25)</f>
        <v>0</v>
      </c>
    </row>
    <row r="26" customFormat="false" ht="15.75" hidden="false" customHeight="false" outlineLevel="0" collapsed="false">
      <c r="A26" s="25" t="n">
        <f aca="false">IF('Переформатированный ответ'!A23="","",DATE(2017,MONTH('Переформатированный ответ'!A23),DAY('Переформатированный ответ'!A23)))</f>
        <v>42860</v>
      </c>
      <c r="B26" s="0" t="n">
        <f aca="false">IF('Переформатированный ответ'!A23 = "","",HOUR('Переформатированный ответ'!A23))</f>
        <v>21</v>
      </c>
    </row>
    <row r="27" customFormat="false" ht="15.75" hidden="false" customHeight="false" outlineLevel="0" collapsed="false">
      <c r="A27" s="25" t="n">
        <f aca="false">IF('Переформатированный ответ'!A24="","",DATE(2017,MONTH('Переформатированный ответ'!A24),DAY('Переформатированный ответ'!A24)))</f>
        <v>42861</v>
      </c>
      <c r="B27" s="0" t="n">
        <f aca="false">IF('Переформатированный ответ'!A24 = "","",HOUR('Переформатированный ответ'!A24))</f>
        <v>6</v>
      </c>
    </row>
    <row r="28" customFormat="false" ht="15.75" hidden="false" customHeight="false" outlineLevel="0" collapsed="false">
      <c r="A28" s="25" t="n">
        <f aca="false">IF('Переформатированный ответ'!A25="","",DATE(2017,MONTH('Переформатированный ответ'!A25),DAY('Переформатированный ответ'!A25)))</f>
        <v>42862</v>
      </c>
      <c r="B28" s="0" t="n">
        <f aca="false">IF('Переформатированный ответ'!A25 = "","",HOUR('Переформатированный ответ'!A25))</f>
        <v>6</v>
      </c>
      <c r="C28" s="25" t="n">
        <f aca="false">IFERROR(__xludf.dummyfunction("UNIQUE(A2:A200)"),42857)</f>
        <v>42857</v>
      </c>
      <c r="D28" s="0" t="n">
        <f aca="false">IF(C28 = "","",COUNTIF($A$2:$A$200,C28))</f>
        <v>9</v>
      </c>
    </row>
    <row r="29" customFormat="false" ht="15.75" hidden="false" customHeight="false" outlineLevel="0" collapsed="false">
      <c r="A29" s="25" t="n">
        <f aca="false">IF('Переформатированный ответ'!A26="","",DATE(2017,MONTH('Переформатированный ответ'!A26),DAY('Переформатированный ответ'!A26)))</f>
        <v>42862</v>
      </c>
      <c r="B29" s="0" t="n">
        <f aca="false">IF('Переформатированный ответ'!A26 = "","",HOUR('Переформатированный ответ'!A26))</f>
        <v>18</v>
      </c>
      <c r="C29" s="25" t="n">
        <f aca="false">IFERROR(__xludf.dummyfunction("""COMPUTED_VALUE"""),42858)</f>
        <v>42858</v>
      </c>
      <c r="D29" s="0" t="n">
        <f aca="false">IF(C29 = "","",COUNTIF($A$2:$A$200,C29))</f>
        <v>9</v>
      </c>
    </row>
    <row r="30" customFormat="false" ht="15.75" hidden="false" customHeight="false" outlineLevel="0" collapsed="false">
      <c r="A30" s="25" t="n">
        <f aca="false">IF('Переформатированный ответ'!A27="","",DATE(2017,MONTH('Переформатированный ответ'!A27),DAY('Переформатированный ответ'!A27)))</f>
        <v>42863</v>
      </c>
      <c r="B30" s="0" t="n">
        <f aca="false">IF('Переформатированный ответ'!A27 = "","",HOUR('Переформатированный ответ'!A27))</f>
        <v>7</v>
      </c>
      <c r="C30" s="0" t="str">
        <f aca="false">IFERROR(__xludf.dummyfunction("""COMPUTED_VALUE"""),"#REF!")</f>
        <v>#REF!</v>
      </c>
      <c r="D30" s="0" t="n">
        <f aca="false">IF(C30 = "","",COUNTIF($A$2:$A$200,C30))</f>
        <v>16</v>
      </c>
    </row>
    <row r="31" customFormat="false" ht="15.75" hidden="false" customHeight="false" outlineLevel="0" collapsed="false">
      <c r="A31" s="25" t="n">
        <f aca="false">IF('Переформатированный ответ'!A28="","",DATE(2017,MONTH('Переформатированный ответ'!A28),DAY('Переформатированный ответ'!A28)))</f>
        <v>42863</v>
      </c>
      <c r="B31" s="0" t="n">
        <f aca="false">IF('Переформатированный ответ'!A28 = "","",HOUR('Переформатированный ответ'!A28))</f>
        <v>18</v>
      </c>
      <c r="C31" s="25" t="n">
        <f aca="false">IFERROR(__xludf.dummyfunction("""COMPUTED_VALUE"""),42859)</f>
        <v>42859</v>
      </c>
      <c r="D31" s="0" t="n">
        <f aca="false">IF(C31 = "","",COUNTIF($A$2:$A$200,C31))</f>
        <v>1</v>
      </c>
    </row>
    <row r="32" customFormat="false" ht="15.75" hidden="false" customHeight="false" outlineLevel="0" collapsed="false">
      <c r="A32" s="25" t="n">
        <f aca="false">IF('Переформатированный ответ'!A29="","",DATE(2017,MONTH('Переформатированный ответ'!A29),DAY('Переформатированный ответ'!A29)))</f>
        <v>42863</v>
      </c>
      <c r="B32" s="0" t="n">
        <f aca="false">IF('Переформатированный ответ'!A29 = "","",HOUR('Переформатированный ответ'!A29))</f>
        <v>18</v>
      </c>
      <c r="C32" s="25" t="n">
        <f aca="false">IFERROR(__xludf.dummyfunction("""COMPUTED_VALUE"""),42860)</f>
        <v>42860</v>
      </c>
      <c r="D32" s="0" t="n">
        <f aca="false">IF(C32 = "","",COUNTIF($A$2:$A$200,C32))</f>
        <v>3</v>
      </c>
    </row>
    <row r="33" customFormat="false" ht="15.75" hidden="false" customHeight="false" outlineLevel="0" collapsed="false">
      <c r="A33" s="0" t="e">
        <f aca="false">IF(#REF!="","",DATE(2017,MONTH(#REF!),DAY(#REF!)))</f>
        <v>#REF!</v>
      </c>
      <c r="B33" s="0" t="e">
        <f aca="false">IF(#REF! = "","",HOUR(#REF!))</f>
        <v>#REF!</v>
      </c>
      <c r="C33" s="25" t="n">
        <f aca="false">IFERROR(__xludf.dummyfunction("""COMPUTED_VALUE"""),42861)</f>
        <v>42861</v>
      </c>
      <c r="D33" s="0" t="n">
        <f aca="false">IF(C33 = "","",COUNTIF($A$2:$A$200,C33))</f>
        <v>1</v>
      </c>
    </row>
    <row r="34" customFormat="false" ht="15.75" hidden="false" customHeight="false" outlineLevel="0" collapsed="false">
      <c r="A34" s="25" t="n">
        <f aca="false">IF('Переформатированный ответ'!A30="","",DATE(2017,MONTH('Переформатированный ответ'!A30),DAY('Переформатированный ответ'!A30)))</f>
        <v>42863</v>
      </c>
      <c r="B34" s="0" t="n">
        <f aca="false">IF('Переформатированный ответ'!A30 = "","",HOUR('Переформатированный ответ'!A30))</f>
        <v>20</v>
      </c>
      <c r="C34" s="25" t="n">
        <f aca="false">IFERROR(__xludf.dummyfunction("""COMPUTED_VALUE"""),42862)</f>
        <v>42862</v>
      </c>
      <c r="D34" s="0" t="n">
        <f aca="false">IF(C34 = "","",COUNTIF($A$2:$A$200,C34))</f>
        <v>2</v>
      </c>
    </row>
    <row r="35" customFormat="false" ht="15.75" hidden="false" customHeight="false" outlineLevel="0" collapsed="false">
      <c r="A35" s="25" t="n">
        <f aca="false">IF('Переформатированный ответ'!A31="","",DATE(2017,MONTH('Переформатированный ответ'!A31),DAY('Переформатированный ответ'!A31)))</f>
        <v>42863</v>
      </c>
      <c r="B35" s="0" t="n">
        <f aca="false">IF('Переформатированный ответ'!A31 = "","",HOUR('Переформатированный ответ'!A31))</f>
        <v>20</v>
      </c>
      <c r="C35" s="25" t="n">
        <f aca="false">IFERROR(__xludf.dummyfunction("""COMPUTED_VALUE"""),42863)</f>
        <v>42863</v>
      </c>
      <c r="D35" s="0" t="n">
        <f aca="false">IF(C35 = "","",COUNTIF($A$2:$A$200,C35))</f>
        <v>7</v>
      </c>
    </row>
    <row r="36" customFormat="false" ht="15.75" hidden="false" customHeight="false" outlineLevel="0" collapsed="false">
      <c r="A36" s="25" t="n">
        <f aca="false">IF('Переформатированный ответ'!A32="","",DATE(2017,MONTH('Переформатированный ответ'!A32),DAY('Переформатированный ответ'!A32)))</f>
        <v>42863</v>
      </c>
      <c r="B36" s="0" t="n">
        <f aca="false">IF('Переформатированный ответ'!A32 = "","",HOUR('Переформатированный ответ'!A32))</f>
        <v>20</v>
      </c>
      <c r="C36" s="25" t="n">
        <f aca="false">IFERROR(__xludf.dummyfunction("""COMPUTED_VALUE"""),42864)</f>
        <v>42864</v>
      </c>
      <c r="D36" s="0" t="n">
        <f aca="false">IF(C36 = "","",COUNTIF($A$2:$A$200,C36))</f>
        <v>10</v>
      </c>
    </row>
    <row r="37" customFormat="false" ht="15.75" hidden="false" customHeight="false" outlineLevel="0" collapsed="false">
      <c r="A37" s="25" t="n">
        <f aca="false">IF('Переформатированный ответ'!A33="","",DATE(2017,MONTH('Переформатированный ответ'!A33),DAY('Переформатированный ответ'!A33)))</f>
        <v>42863</v>
      </c>
      <c r="B37" s="0" t="n">
        <f aca="false">IF('Переформатированный ответ'!A33 = "","",HOUR('Переформатированный ответ'!A33))</f>
        <v>21</v>
      </c>
      <c r="C37" s="25" t="n">
        <f aca="false">IFERROR(__xludf.dummyfunction("""COMPUTED_VALUE"""),42865)</f>
        <v>42865</v>
      </c>
      <c r="D37" s="0" t="n">
        <f aca="false">IF(C37 = "","",COUNTIF($A$2:$A$200,C37))</f>
        <v>2</v>
      </c>
    </row>
    <row r="38" customFormat="false" ht="15.75" hidden="false" customHeight="false" outlineLevel="0" collapsed="false">
      <c r="A38" s="25" t="n">
        <f aca="false">IF('Переформатированный ответ'!A34="","",DATE(2017,MONTH('Переформатированный ответ'!A34),DAY('Переформатированный ответ'!A34)))</f>
        <v>42864</v>
      </c>
      <c r="B38" s="0" t="n">
        <f aca="false">IF('Переформатированный ответ'!A34 = "","",HOUR('Переформатированный ответ'!A34))</f>
        <v>7</v>
      </c>
      <c r="C38" s="25" t="n">
        <f aca="false">IFERROR(__xludf.dummyfunction("""COMPUTED_VALUE"""),42866)</f>
        <v>42866</v>
      </c>
      <c r="D38" s="0" t="n">
        <f aca="false">IF(C38 = "","",COUNTIF($A$2:$A$200,C38))</f>
        <v>5</v>
      </c>
    </row>
    <row r="39" customFormat="false" ht="15.75" hidden="false" customHeight="false" outlineLevel="0" collapsed="false">
      <c r="A39" s="25" t="n">
        <f aca="false">IF('Переформатированный ответ'!A35="","",DATE(2017,MONTH('Переформатированный ответ'!A35),DAY('Переформатированный ответ'!A35)))</f>
        <v>42864</v>
      </c>
      <c r="B39" s="0" t="n">
        <f aca="false">IF('Переформатированный ответ'!A35 = "","",HOUR('Переформатированный ответ'!A35))</f>
        <v>12</v>
      </c>
      <c r="C39" s="25" t="n">
        <f aca="false">IFERROR(__xludf.dummyfunction("""COMPUTED_VALUE"""),42867)</f>
        <v>42867</v>
      </c>
      <c r="D39" s="0" t="n">
        <f aca="false">IF(C39 = "","",COUNTIF($A$2:$A$200,C39))</f>
        <v>1</v>
      </c>
    </row>
    <row r="40" customFormat="false" ht="15.75" hidden="false" customHeight="false" outlineLevel="0" collapsed="false">
      <c r="A40" s="25" t="n">
        <f aca="false">IF('Переформатированный ответ'!A36="","",DATE(2017,MONTH('Переформатированный ответ'!A36),DAY('Переформатированный ответ'!A36)))</f>
        <v>42864</v>
      </c>
      <c r="B40" s="0" t="n">
        <f aca="false">IF('Переформатированный ответ'!A36 = "","",HOUR('Переформатированный ответ'!A36))</f>
        <v>12</v>
      </c>
      <c r="C40" s="25" t="n">
        <f aca="false">IFERROR(__xludf.dummyfunction("""COMPUTED_VALUE"""),42868)</f>
        <v>42868</v>
      </c>
      <c r="D40" s="0" t="n">
        <f aca="false">IF(C40 = "","",COUNTIF($A$2:$A$200,C40))</f>
        <v>1</v>
      </c>
    </row>
    <row r="41" customFormat="false" ht="15.75" hidden="false" customHeight="false" outlineLevel="0" collapsed="false">
      <c r="A41" s="25" t="n">
        <f aca="false">IF('Переформатированный ответ'!A37="","",DATE(2017,MONTH('Переформатированный ответ'!A37),DAY('Переформатированный ответ'!A37)))</f>
        <v>42864</v>
      </c>
      <c r="B41" s="0" t="n">
        <f aca="false">IF('Переформатированный ответ'!A37 = "","",HOUR('Переформатированный ответ'!A37))</f>
        <v>13</v>
      </c>
      <c r="C41" s="25" t="n">
        <f aca="false">IFERROR(__xludf.dummyfunction("""COMPUTED_VALUE"""),42869)</f>
        <v>42869</v>
      </c>
      <c r="D41" s="0" t="n">
        <f aca="false">IF(C41 = "","",COUNTIF($A$2:$A$200,C41))</f>
        <v>1</v>
      </c>
    </row>
    <row r="42" customFormat="false" ht="15.75" hidden="false" customHeight="false" outlineLevel="0" collapsed="false">
      <c r="A42" s="25" t="n">
        <f aca="false">IF('Переформатированный ответ'!A38="","",DATE(2017,MONTH('Переформатированный ответ'!A38),DAY('Переформатированный ответ'!A38)))</f>
        <v>42864</v>
      </c>
      <c r="B42" s="0" t="n">
        <f aca="false">IF('Переформатированный ответ'!A38 = "","",HOUR('Переформатированный ответ'!A38))</f>
        <v>13</v>
      </c>
      <c r="C42" s="25" t="n">
        <f aca="false">IFERROR(__xludf.dummyfunction("""COMPUTED_VALUE"""),42870)</f>
        <v>42870</v>
      </c>
      <c r="D42" s="0" t="n">
        <f aca="false">IF(C42 = "","",COUNTIF($A$2:$A$200,C42))</f>
        <v>1</v>
      </c>
    </row>
    <row r="43" customFormat="false" ht="15.75" hidden="false" customHeight="false" outlineLevel="0" collapsed="false">
      <c r="A43" s="25" t="n">
        <f aca="false">IF('Переформатированный ответ'!A39="","",DATE(2017,MONTH('Переформатированный ответ'!A39),DAY('Переформатированный ответ'!A39)))</f>
        <v>42864</v>
      </c>
      <c r="B43" s="0" t="n">
        <f aca="false">IF('Переформатированный ответ'!A39 = "","",HOUR('Переформатированный ответ'!A39))</f>
        <v>14</v>
      </c>
      <c r="C43" s="25" t="n">
        <f aca="false">IFERROR(__xludf.dummyfunction("""COMPUTED_VALUE"""),42871)</f>
        <v>42871</v>
      </c>
      <c r="D43" s="0" t="n">
        <f aca="false">IF(C43 = "","",COUNTIF($A$2:$A$200,C43))</f>
        <v>3</v>
      </c>
    </row>
    <row r="44" customFormat="false" ht="15.75" hidden="false" customHeight="false" outlineLevel="0" collapsed="false">
      <c r="A44" s="25" t="n">
        <f aca="false">IF('Переформатированный ответ'!A40="","",DATE(2017,MONTH('Переформатированный ответ'!A40),DAY('Переформатированный ответ'!A40)))</f>
        <v>42864</v>
      </c>
      <c r="B44" s="0" t="n">
        <f aca="false">IF('Переформатированный ответ'!A40 = "","",HOUR('Переформатированный ответ'!A40))</f>
        <v>14</v>
      </c>
      <c r="C44" s="25" t="n">
        <f aca="false">IFERROR(__xludf.dummyfunction("""COMPUTED_VALUE"""),42872)</f>
        <v>42872</v>
      </c>
      <c r="D44" s="0" t="n">
        <f aca="false">IF(C44 = "","",COUNTIF($A$2:$A$200,C44))</f>
        <v>9</v>
      </c>
    </row>
    <row r="45" customFormat="false" ht="15.75" hidden="false" customHeight="false" outlineLevel="0" collapsed="false">
      <c r="A45" s="0" t="e">
        <f aca="false">IF(#REF!="","",DATE(2017,MONTH(#REF!),DAY(#REF!)))</f>
        <v>#REF!</v>
      </c>
      <c r="B45" s="0" t="e">
        <f aca="false">IF(#REF! = "","",HOUR(#REF!))</f>
        <v>#REF!</v>
      </c>
      <c r="C45" s="25" t="n">
        <f aca="false">IFERROR(__xludf.dummyfunction("""COMPUTED_VALUE"""),42873)</f>
        <v>42873</v>
      </c>
      <c r="D45" s="0" t="n">
        <f aca="false">IF(C45 = "","",COUNTIF($A$2:$A$200,C45))</f>
        <v>9</v>
      </c>
    </row>
    <row r="46" customFormat="false" ht="15.75" hidden="false" customHeight="false" outlineLevel="0" collapsed="false">
      <c r="A46" s="25" t="n">
        <f aca="false">IF('Переформатированный ответ'!A41="","",DATE(2017,MONTH('Переформатированный ответ'!A41),DAY('Переформатированный ответ'!A41)))</f>
        <v>42864</v>
      </c>
      <c r="B46" s="0" t="n">
        <f aca="false">IF('Переформатированный ответ'!A41 = "","",HOUR('Переформатированный ответ'!A41))</f>
        <v>18</v>
      </c>
      <c r="C46" s="25" t="n">
        <f aca="false">IFERROR(__xludf.dummyfunction("""COMPUTED_VALUE"""),42874)</f>
        <v>42874</v>
      </c>
      <c r="D46" s="0" t="n">
        <f aca="false">IF(C46 = "","",COUNTIF($A$2:$A$200,C46))</f>
        <v>3</v>
      </c>
    </row>
    <row r="47" customFormat="false" ht="15.75" hidden="false" customHeight="false" outlineLevel="0" collapsed="false">
      <c r="A47" s="25" t="n">
        <f aca="false">IF('Переформатированный ответ'!A42="","",DATE(2017,MONTH('Переформатированный ответ'!A42),DAY('Переформатированный ответ'!A42)))</f>
        <v>42864</v>
      </c>
      <c r="B47" s="0" t="n">
        <f aca="false">IF('Переформатированный ответ'!A42 = "","",HOUR('Переформатированный ответ'!A42))</f>
        <v>18</v>
      </c>
      <c r="C47" s="25" t="n">
        <f aca="false">IFERROR(__xludf.dummyfunction("""COMPUTED_VALUE"""),42876)</f>
        <v>42876</v>
      </c>
      <c r="D47" s="0" t="n">
        <f aca="false">IF(C47 = "","",COUNTIF($A$2:$A$200,C47))</f>
        <v>3</v>
      </c>
    </row>
    <row r="48" customFormat="false" ht="15.75" hidden="false" customHeight="false" outlineLevel="0" collapsed="false">
      <c r="A48" s="25" t="n">
        <f aca="false">IF('Переформатированный ответ'!A43="","",DATE(2017,MONTH('Переформатированный ответ'!A43),DAY('Переформатированный ответ'!A43)))</f>
        <v>42864</v>
      </c>
      <c r="B48" s="0" t="n">
        <f aca="false">IF('Переформатированный ответ'!A43 = "","",HOUR('Переформатированный ответ'!A43))</f>
        <v>20</v>
      </c>
      <c r="C48" s="0" t="str">
        <f aca="false">IFERROR(__xludf.dummyfunction("""COMPUTED_VALUE"""),"#VALUE!")</f>
        <v>#VALUE!</v>
      </c>
      <c r="D48" s="0" t="n">
        <f aca="false">IF(C48 = "","",COUNTIF($A$2:$A$200,C48))</f>
        <v>17</v>
      </c>
    </row>
    <row r="49" customFormat="false" ht="15.75" hidden="false" customHeight="false" outlineLevel="0" collapsed="false">
      <c r="A49" s="25" t="n">
        <f aca="false">IF('Переформатированный ответ'!A44="","",DATE(2017,MONTH('Переформатированный ответ'!A44),DAY('Переформатированный ответ'!A44)))</f>
        <v>42865</v>
      </c>
      <c r="B49" s="0" t="n">
        <f aca="false">IF('Переформатированный ответ'!A44 = "","",HOUR('Переформатированный ответ'!A44))</f>
        <v>5</v>
      </c>
      <c r="C49" s="25" t="n">
        <f aca="false">IFERROR(__xludf.dummyfunction("""COMPUTED_VALUE"""),42884)</f>
        <v>42884</v>
      </c>
      <c r="D49" s="0" t="n">
        <f aca="false">IF(C49 = "","",COUNTIF($A$2:$A$200,C49))</f>
        <v>2</v>
      </c>
    </row>
    <row r="50" customFormat="false" ht="15.75" hidden="false" customHeight="false" outlineLevel="0" collapsed="false">
      <c r="A50" s="25" t="n">
        <f aca="false">IF('Переформатированный ответ'!A45="","",DATE(2017,MONTH('Переформатированный ответ'!A45),DAY('Переформатированный ответ'!A45)))</f>
        <v>42865</v>
      </c>
      <c r="B50" s="0" t="n">
        <f aca="false">IF('Переформатированный ответ'!A45 = "","",HOUR('Переформатированный ответ'!A45))</f>
        <v>11</v>
      </c>
      <c r="C50" s="25" t="n">
        <f aca="false">IFERROR(__xludf.dummyfunction("""COMPUTED_VALUE"""),42885)</f>
        <v>42885</v>
      </c>
      <c r="D50" s="0" t="n">
        <f aca="false">IF(C50 = "","",COUNTIF($A$2:$A$200,C50))</f>
        <v>3</v>
      </c>
    </row>
    <row r="51" customFormat="false" ht="15.75" hidden="false" customHeight="false" outlineLevel="0" collapsed="false">
      <c r="A51" s="25" t="n">
        <f aca="false">IF('Переформатированный ответ'!A46="","",DATE(2017,MONTH('Переформатированный ответ'!A46),DAY('Переформатированный ответ'!A46)))</f>
        <v>42866</v>
      </c>
      <c r="B51" s="0" t="n">
        <f aca="false">IF('Переформатированный ответ'!A46 = "","",HOUR('Переформатированный ответ'!A46))</f>
        <v>15</v>
      </c>
      <c r="C51" s="25" t="n">
        <f aca="false">IFERROR(__xludf.dummyfunction("""COMPUTED_VALUE"""),42886)</f>
        <v>42886</v>
      </c>
      <c r="D51" s="0" t="n">
        <f aca="false">IF(C51 = "","",COUNTIF($A$2:$A$200,C51))</f>
        <v>3</v>
      </c>
    </row>
    <row r="52" customFormat="false" ht="15.75" hidden="false" customHeight="false" outlineLevel="0" collapsed="false">
      <c r="A52" s="25" t="n">
        <f aca="false">IF('Переформатированный ответ'!A47="","",DATE(2017,MONTH('Переформатированный ответ'!A47),DAY('Переформатированный ответ'!A47)))</f>
        <v>42866</v>
      </c>
      <c r="B52" s="0" t="n">
        <f aca="false">IF('Переформатированный ответ'!A47 = "","",HOUR('Переформатированный ответ'!A47))</f>
        <v>16</v>
      </c>
      <c r="C52" s="25" t="n">
        <f aca="false">IFERROR(__xludf.dummyfunction("""COMPUTED_VALUE"""),42888)</f>
        <v>42888</v>
      </c>
      <c r="D52" s="0" t="n">
        <f aca="false">IF(C52 = "","",COUNTIF($A$2:$A$200,C52))</f>
        <v>1</v>
      </c>
    </row>
    <row r="53" customFormat="false" ht="15.75" hidden="false" customHeight="false" outlineLevel="0" collapsed="false">
      <c r="A53" s="25" t="n">
        <f aca="false">IF('Переформатированный ответ'!A48="","",DATE(2017,MONTH('Переформатированный ответ'!A48),DAY('Переформатированный ответ'!A48)))</f>
        <v>42866</v>
      </c>
      <c r="B53" s="0" t="n">
        <f aca="false">IF('Переформатированный ответ'!A48 = "","",HOUR('Переформатированный ответ'!A48))</f>
        <v>18</v>
      </c>
      <c r="C53" s="25" t="n">
        <f aca="false">IFERROR(__xludf.dummyfunction("""COMPUTED_VALUE"""),42893)</f>
        <v>42893</v>
      </c>
      <c r="D53" s="0" t="n">
        <f aca="false">IF(C53 = "","",COUNTIF($A$2:$A$200,C53))</f>
        <v>1</v>
      </c>
    </row>
    <row r="54" customFormat="false" ht="15.75" hidden="false" customHeight="false" outlineLevel="0" collapsed="false">
      <c r="A54" s="25" t="n">
        <f aca="false">IF('Переформатированный ответ'!A49="","",DATE(2017,MONTH('Переформатированный ответ'!A49),DAY('Переформатированный ответ'!A49)))</f>
        <v>42866</v>
      </c>
      <c r="B54" s="0" t="n">
        <f aca="false">IF('Переформатированный ответ'!A49 = "","",HOUR('Переформатированный ответ'!A49))</f>
        <v>19</v>
      </c>
      <c r="C54" s="25" t="n">
        <f aca="false">IFERROR(__xludf.dummyfunction("""COMPUTED_VALUE"""),42896)</f>
        <v>42896</v>
      </c>
      <c r="D54" s="0" t="n">
        <f aca="false">IF(C54 = "","",COUNTIF($A$2:$A$200,C54))</f>
        <v>1</v>
      </c>
    </row>
    <row r="55" customFormat="false" ht="15.75" hidden="false" customHeight="false" outlineLevel="0" collapsed="false">
      <c r="A55" s="25" t="n">
        <f aca="false">IF('Переформатированный ответ'!A50="","",DATE(2017,MONTH('Переформатированный ответ'!A50),DAY('Переформатированный ответ'!A50)))</f>
        <v>42866</v>
      </c>
      <c r="B55" s="0" t="n">
        <f aca="false">IF('Переформатированный ответ'!A50 = "","",HOUR('Переформатированный ответ'!A50))</f>
        <v>20</v>
      </c>
      <c r="C55" s="25" t="n">
        <f aca="false">IFERROR(__xludf.dummyfunction("""COMPUTED_VALUE"""),42905)</f>
        <v>42905</v>
      </c>
      <c r="D55" s="0" t="n">
        <f aca="false">IF(C55 = "","",COUNTIF($A$2:$A$200,C55))</f>
        <v>1</v>
      </c>
    </row>
    <row r="56" customFormat="false" ht="15.75" hidden="false" customHeight="false" outlineLevel="0" collapsed="false">
      <c r="A56" s="25" t="n">
        <f aca="false">IF('Переформатированный ответ'!A51="","",DATE(2017,MONTH('Переформатированный ответ'!A51),DAY('Переформатированный ответ'!A51)))</f>
        <v>42867</v>
      </c>
      <c r="B56" s="0" t="n">
        <f aca="false">IF('Переформатированный ответ'!A51 = "","",HOUR('Переформатированный ответ'!A51))</f>
        <v>8</v>
      </c>
      <c r="C56" s="25" t="n">
        <f aca="false">IFERROR(__xludf.dummyfunction("""COMPUTED_VALUE"""),42922)</f>
        <v>42922</v>
      </c>
      <c r="D56" s="0" t="n">
        <f aca="false">IF(C56 = "","",COUNTIF($A$2:$A$200,C56))</f>
        <v>1</v>
      </c>
    </row>
    <row r="57" customFormat="false" ht="15.75" hidden="false" customHeight="false" outlineLevel="0" collapsed="false">
      <c r="A57" s="25" t="n">
        <f aca="false">IF('Переформатированный ответ'!A52="","",DATE(2017,MONTH('Переформатированный ответ'!A52),DAY('Переформатированный ответ'!A52)))</f>
        <v>42868</v>
      </c>
      <c r="B57" s="0" t="n">
        <f aca="false">IF('Переформатированный ответ'!A52 = "","",HOUR('Переформатированный ответ'!A52))</f>
        <v>18</v>
      </c>
      <c r="C57" s="25" t="n">
        <f aca="false">IFERROR(__xludf.dummyfunction("""COMPUTED_VALUE"""),42927)</f>
        <v>42927</v>
      </c>
      <c r="D57" s="0" t="n">
        <f aca="false">IF(C57 = "","",COUNTIF($A$2:$A$200,C57))</f>
        <v>2</v>
      </c>
    </row>
    <row r="58" customFormat="false" ht="15.75" hidden="false" customHeight="false" outlineLevel="0" collapsed="false">
      <c r="A58" s="25" t="n">
        <f aca="false">IF('Переформатированный ответ'!A53="","",DATE(2017,MONTH('Переформатированный ответ'!A53),DAY('Переформатированный ответ'!A53)))</f>
        <v>42869</v>
      </c>
      <c r="B58" s="0" t="n">
        <f aca="false">IF('Переформатированный ответ'!A53 = "","",HOUR('Переформатированный ответ'!A53))</f>
        <v>8</v>
      </c>
      <c r="C58" s="0" t="str">
        <f aca="false">IFERROR(__xludf.dummyfunction("""COMPUTED_VALUE"""),"")</f>
        <v/>
      </c>
      <c r="D58" s="0" t="str">
        <f aca="false">IF(C58 = "","",COUNTIF($A$2:$A$200,C58))</f>
        <v/>
      </c>
    </row>
    <row r="59" customFormat="false" ht="15.75" hidden="false" customHeight="false" outlineLevel="0" collapsed="false">
      <c r="A59" s="0" t="e">
        <f aca="false">IF(#REF!="","",DATE(2017,MONTH(#REF!),DAY(#REF!)))</f>
        <v>#REF!</v>
      </c>
      <c r="B59" s="0" t="e">
        <f aca="false">IF(#REF! = "","",HOUR(#REF!))</f>
        <v>#REF!</v>
      </c>
      <c r="D59" s="0" t="str">
        <f aca="false">IF(C59 = "","",COUNTIF($A$2:$A$200,C59))</f>
        <v/>
      </c>
    </row>
    <row r="60" customFormat="false" ht="15.75" hidden="false" customHeight="false" outlineLevel="0" collapsed="false">
      <c r="A60" s="25" t="n">
        <f aca="false">IF('Переформатированный ответ'!A54="","",DATE(2017,MONTH('Переформатированный ответ'!A54),DAY('Переформатированный ответ'!A54)))</f>
        <v>42870</v>
      </c>
      <c r="B60" s="0" t="n">
        <f aca="false">IF('Переформатированный ответ'!A54 = "","",HOUR('Переформатированный ответ'!A54))</f>
        <v>18</v>
      </c>
      <c r="D60" s="0" t="str">
        <f aca="false">IF(C60 = "","",COUNTIF($A$2:$A$200,C60))</f>
        <v/>
      </c>
    </row>
    <row r="61" customFormat="false" ht="15.75" hidden="false" customHeight="false" outlineLevel="0" collapsed="false">
      <c r="A61" s="25" t="n">
        <f aca="false">IF('Переформатированный ответ'!A55="","",DATE(2017,MONTH('Переформатированный ответ'!A55),DAY('Переформатированный ответ'!A55)))</f>
        <v>42871</v>
      </c>
      <c r="B61" s="0" t="n">
        <f aca="false">IF('Переформатированный ответ'!A55 = "","",HOUR('Переформатированный ответ'!A55))</f>
        <v>5</v>
      </c>
      <c r="D61" s="0" t="str">
        <f aca="false">IF(C61 = "","",COUNTIF($A$2:$A$200,C61))</f>
        <v/>
      </c>
    </row>
    <row r="62" customFormat="false" ht="15.75" hidden="false" customHeight="false" outlineLevel="0" collapsed="false">
      <c r="A62" s="25" t="n">
        <f aca="false">IF('Переформатированный ответ'!A56="","",DATE(2017,MONTH('Переформатированный ответ'!A56),DAY('Переформатированный ответ'!A56)))</f>
        <v>42871</v>
      </c>
      <c r="B62" s="0" t="n">
        <f aca="false">IF('Переформатированный ответ'!A56 = "","",HOUR('Переформатированный ответ'!A56))</f>
        <v>17</v>
      </c>
      <c r="D62" s="0" t="str">
        <f aca="false">IF(C62 = "","",COUNTIF($A$2:$A$200,C62))</f>
        <v/>
      </c>
    </row>
    <row r="63" customFormat="false" ht="15.75" hidden="false" customHeight="false" outlineLevel="0" collapsed="false">
      <c r="A63" s="25" t="n">
        <f aca="false">IF('Переформатированный ответ'!A57="","",DATE(2017,MONTH('Переформатированный ответ'!A57),DAY('Переформатированный ответ'!A57)))</f>
        <v>42871</v>
      </c>
      <c r="B63" s="0" t="n">
        <f aca="false">IF('Переформатированный ответ'!A57 = "","",HOUR('Переформатированный ответ'!A57))</f>
        <v>18</v>
      </c>
      <c r="D63" s="0" t="str">
        <f aca="false">IF(C63 = "","",COUNTIF($A$2:$A$200,C63))</f>
        <v/>
      </c>
    </row>
    <row r="64" customFormat="false" ht="15.75" hidden="false" customHeight="false" outlineLevel="0" collapsed="false">
      <c r="A64" s="25" t="n">
        <f aca="false">IF('Переформатированный ответ'!A58="","",DATE(2017,MONTH('Переформатированный ответ'!A58),DAY('Переформатированный ответ'!A58)))</f>
        <v>42872</v>
      </c>
      <c r="B64" s="0" t="n">
        <f aca="false">IF('Переформатированный ответ'!A58 = "","",HOUR('Переформатированный ответ'!A58))</f>
        <v>14</v>
      </c>
      <c r="D64" s="0" t="str">
        <f aca="false">IF(C64 = "","",COUNTIF($A$2:$A$200,C64))</f>
        <v/>
      </c>
    </row>
    <row r="65" customFormat="false" ht="15.75" hidden="false" customHeight="false" outlineLevel="0" collapsed="false">
      <c r="A65" s="25" t="n">
        <f aca="false">IF('Переформатированный ответ'!A59="","",DATE(2017,MONTH('Переформатированный ответ'!A59),DAY('Переформатированный ответ'!A59)))</f>
        <v>42872</v>
      </c>
      <c r="B65" s="0" t="n">
        <f aca="false">IF('Переформатированный ответ'!A59 = "","",HOUR('Переформатированный ответ'!A59))</f>
        <v>14</v>
      </c>
      <c r="D65" s="0" t="str">
        <f aca="false">IF(C65 = "","",COUNTIF($A$2:$A$200,C65))</f>
        <v/>
      </c>
    </row>
    <row r="66" customFormat="false" ht="15.75" hidden="false" customHeight="false" outlineLevel="0" collapsed="false">
      <c r="A66" s="25" t="n">
        <f aca="false">IF('Переформатированный ответ'!A60="","",DATE(2017,MONTH('Переформатированный ответ'!A60),DAY('Переформатированный ответ'!A60)))</f>
        <v>42872</v>
      </c>
      <c r="B66" s="0" t="n">
        <f aca="false">IF('Переформатированный ответ'!A60 = "","",HOUR('Переформатированный ответ'!A60))</f>
        <v>16</v>
      </c>
      <c r="D66" s="0" t="str">
        <f aca="false">IF(C66 = "","",COUNTIF($A$2:$A$200,C66))</f>
        <v/>
      </c>
    </row>
    <row r="67" customFormat="false" ht="15.75" hidden="false" customHeight="false" outlineLevel="0" collapsed="false">
      <c r="A67" s="25" t="n">
        <f aca="false">IF('Переформатированный ответ'!A61="","",DATE(2017,MONTH('Переформатированный ответ'!A61),DAY('Переформатированный ответ'!A61)))</f>
        <v>42872</v>
      </c>
      <c r="B67" s="0" t="n">
        <f aca="false">IF('Переформатированный ответ'!A61 = "","",HOUR('Переформатированный ответ'!A61))</f>
        <v>16</v>
      </c>
      <c r="D67" s="0" t="str">
        <f aca="false">IF(C67 = "","",COUNTIF($A$2:$A$200,C67))</f>
        <v/>
      </c>
    </row>
    <row r="68" customFormat="false" ht="15.75" hidden="false" customHeight="false" outlineLevel="0" collapsed="false">
      <c r="A68" s="25" t="n">
        <f aca="false">IF('Переформатированный ответ'!A62="","",DATE(2017,MONTH('Переформатированный ответ'!A62),DAY('Переформатированный ответ'!A62)))</f>
        <v>42872</v>
      </c>
      <c r="B68" s="0" t="n">
        <f aca="false">IF('Переформатированный ответ'!A62 = "","",HOUR('Переформатированный ответ'!A62))</f>
        <v>16</v>
      </c>
      <c r="D68" s="0" t="str">
        <f aca="false">IF(C68 = "","",COUNTIF($A$2:$A$200,C68))</f>
        <v/>
      </c>
    </row>
    <row r="69" customFormat="false" ht="15.75" hidden="false" customHeight="false" outlineLevel="0" collapsed="false">
      <c r="A69" s="0" t="e">
        <f aca="false">IF(#REF!="","",DATE(2017,MONTH(#REF!),DAY(#REF!)))</f>
        <v>#REF!</v>
      </c>
      <c r="B69" s="0" t="e">
        <f aca="false">IF(#REF! = "","",HOUR(#REF!))</f>
        <v>#REF!</v>
      </c>
      <c r="D69" s="0" t="str">
        <f aca="false">IF(C69 = "","",COUNTIF($A$2:$A$200,C69))</f>
        <v/>
      </c>
    </row>
    <row r="70" customFormat="false" ht="15.75" hidden="false" customHeight="false" outlineLevel="0" collapsed="false">
      <c r="A70" s="25" t="n">
        <f aca="false">IF('Переформатированный ответ'!A63="","",DATE(2017,MONTH('Переформатированный ответ'!A63),DAY('Переформатированный ответ'!A63)))</f>
        <v>42872</v>
      </c>
      <c r="B70" s="0" t="n">
        <f aca="false">IF('Переформатированный ответ'!A63 = "","",HOUR('Переформатированный ответ'!A63))</f>
        <v>17</v>
      </c>
      <c r="D70" s="0" t="str">
        <f aca="false">IF(C70 = "","",COUNTIF($A$2:$A$200,C70))</f>
        <v/>
      </c>
    </row>
    <row r="71" customFormat="false" ht="15.75" hidden="false" customHeight="false" outlineLevel="0" collapsed="false">
      <c r="A71" s="25" t="n">
        <f aca="false">IF('Переформатированный ответ'!A64="","",DATE(2017,MONTH('Переформатированный ответ'!A64),DAY('Переформатированный ответ'!A64)))</f>
        <v>42872</v>
      </c>
      <c r="B71" s="0" t="n">
        <f aca="false">IF('Переформатированный ответ'!A64 = "","",HOUR('Переформатированный ответ'!A64))</f>
        <v>17</v>
      </c>
      <c r="D71" s="0" t="str">
        <f aca="false">IF(C71 = "","",COUNTIF($A$2:$A$200,C71))</f>
        <v/>
      </c>
    </row>
    <row r="72" customFormat="false" ht="15.75" hidden="false" customHeight="false" outlineLevel="0" collapsed="false">
      <c r="A72" s="25" t="n">
        <f aca="false">IF('Переформатированный ответ'!A65="","",DATE(2017,MONTH('Переформатированный ответ'!A65),DAY('Переформатированный ответ'!A65)))</f>
        <v>42872</v>
      </c>
      <c r="B72" s="0" t="n">
        <f aca="false">IF('Переформатированный ответ'!A65 = "","",HOUR('Переформатированный ответ'!A65))</f>
        <v>18</v>
      </c>
      <c r="D72" s="0" t="str">
        <f aca="false">IF(C72 = "","",COUNTIF($A$2:$A$200,C72))</f>
        <v/>
      </c>
    </row>
    <row r="73" customFormat="false" ht="15.75" hidden="false" customHeight="false" outlineLevel="0" collapsed="false">
      <c r="A73" s="25" t="n">
        <f aca="false">IF('Переформатированный ответ'!A66="","",DATE(2017,MONTH('Переформатированный ответ'!A66),DAY('Переформатированный ответ'!A66)))</f>
        <v>42872</v>
      </c>
      <c r="B73" s="0" t="n">
        <f aca="false">IF('Переформатированный ответ'!A66 = "","",HOUR('Переформатированный ответ'!A66))</f>
        <v>19</v>
      </c>
      <c r="D73" s="0" t="str">
        <f aca="false">IF(C73 = "","",COUNTIF($A$2:$A$200,C73))</f>
        <v/>
      </c>
    </row>
    <row r="74" customFormat="false" ht="15.75" hidden="false" customHeight="false" outlineLevel="0" collapsed="false">
      <c r="A74" s="25" t="n">
        <f aca="false">IF('Переформатированный ответ'!A67="","",DATE(2017,MONTH('Переформатированный ответ'!A67),DAY('Переформатированный ответ'!A67)))</f>
        <v>42873</v>
      </c>
      <c r="B74" s="0" t="n">
        <f aca="false">IF('Переформатированный ответ'!A67 = "","",HOUR('Переформатированный ответ'!A67))</f>
        <v>7</v>
      </c>
      <c r="D74" s="0" t="str">
        <f aca="false">IF(C74 = "","",COUNTIF($A$2:$A$200,C74))</f>
        <v/>
      </c>
    </row>
    <row r="75" customFormat="false" ht="15.75" hidden="false" customHeight="false" outlineLevel="0" collapsed="false">
      <c r="A75" s="25" t="n">
        <f aca="false">IF('Переформатированный ответ'!A68="","",DATE(2017,MONTH('Переформатированный ответ'!A68),DAY('Переформатированный ответ'!A68)))</f>
        <v>42873</v>
      </c>
      <c r="B75" s="0" t="n">
        <f aca="false">IF('Переформатированный ответ'!A68 = "","",HOUR('Переформатированный ответ'!A68))</f>
        <v>7</v>
      </c>
      <c r="D75" s="0" t="str">
        <f aca="false">IF(C75 = "","",COUNTIF($A$2:$A$200,C75))</f>
        <v/>
      </c>
    </row>
    <row r="76" customFormat="false" ht="15.75" hidden="false" customHeight="false" outlineLevel="0" collapsed="false">
      <c r="A76" s="25" t="n">
        <f aca="false">IF('Переформатированный ответ'!A69="","",DATE(2017,MONTH('Переформатированный ответ'!A69),DAY('Переформатированный ответ'!A69)))</f>
        <v>42873</v>
      </c>
      <c r="B76" s="0" t="n">
        <f aca="false">IF('Переформатированный ответ'!A69 = "","",HOUR('Переформатированный ответ'!A69))</f>
        <v>9</v>
      </c>
      <c r="D76" s="0" t="str">
        <f aca="false">IF(C76 = "","",COUNTIF($A$2:$A$200,C76))</f>
        <v/>
      </c>
    </row>
    <row r="77" customFormat="false" ht="15.75" hidden="false" customHeight="false" outlineLevel="0" collapsed="false">
      <c r="A77" s="25" t="n">
        <f aca="false">IF('Переформатированный ответ'!A70="","",DATE(2017,MONTH('Переформатированный ответ'!A70),DAY('Переформатированный ответ'!A70)))</f>
        <v>42873</v>
      </c>
      <c r="B77" s="0" t="n">
        <f aca="false">IF('Переформатированный ответ'!A70 = "","",HOUR('Переформатированный ответ'!A70))</f>
        <v>11</v>
      </c>
      <c r="D77" s="0" t="str">
        <f aca="false">IF(C77 = "","",COUNTIF($A$2:$A$200,C77))</f>
        <v/>
      </c>
    </row>
    <row r="78" customFormat="false" ht="15.75" hidden="false" customHeight="false" outlineLevel="0" collapsed="false">
      <c r="A78" s="0" t="e">
        <f aca="false">IF(#REF!="","",DATE(2017,MONTH(#REF!),DAY(#REF!)))</f>
        <v>#REF!</v>
      </c>
      <c r="B78" s="0" t="e">
        <f aca="false">IF(#REF! = "","",HOUR(#REF!))</f>
        <v>#REF!</v>
      </c>
      <c r="D78" s="0" t="str">
        <f aca="false">IF(C78 = "","",COUNTIF($A$2:$A$200,C78))</f>
        <v/>
      </c>
    </row>
    <row r="79" customFormat="false" ht="15.75" hidden="false" customHeight="false" outlineLevel="0" collapsed="false">
      <c r="A79" s="0" t="e">
        <f aca="false">IF(#REF!="","",DATE(2017,MONTH(#REF!),DAY(#REF!)))</f>
        <v>#REF!</v>
      </c>
      <c r="B79" s="0" t="e">
        <f aca="false">IF(#REF! = "","",HOUR(#REF!))</f>
        <v>#REF!</v>
      </c>
      <c r="D79" s="0" t="str">
        <f aca="false">IF(C79 = "","",COUNTIF($A$2:$A$200,C79))</f>
        <v/>
      </c>
    </row>
    <row r="80" customFormat="false" ht="15.75" hidden="false" customHeight="false" outlineLevel="0" collapsed="false">
      <c r="A80" s="25" t="n">
        <f aca="false">IF('Переформатированный ответ'!A71="","",DATE(2017,MONTH('Переформатированный ответ'!A71),DAY('Переформатированный ответ'!A71)))</f>
        <v>42873</v>
      </c>
      <c r="B80" s="0" t="n">
        <f aca="false">IF('Переформатированный ответ'!A71 = "","",HOUR('Переформатированный ответ'!A71))</f>
        <v>13</v>
      </c>
      <c r="D80" s="0" t="str">
        <f aca="false">IF(C80 = "","",COUNTIF($A$2:$A$200,C80))</f>
        <v/>
      </c>
    </row>
    <row r="81" customFormat="false" ht="15.75" hidden="false" customHeight="false" outlineLevel="0" collapsed="false">
      <c r="A81" s="25" t="n">
        <f aca="false">IF('Переформатированный ответ'!A72="","",DATE(2017,MONTH('Переформатированный ответ'!A72),DAY('Переформатированный ответ'!A72)))</f>
        <v>42873</v>
      </c>
      <c r="B81" s="0" t="n">
        <f aca="false">IF('Переформатированный ответ'!A72 = "","",HOUR('Переформатированный ответ'!A72))</f>
        <v>15</v>
      </c>
      <c r="D81" s="0" t="str">
        <f aca="false">IF(C81 = "","",COUNTIF($A$2:$A$200,C81))</f>
        <v/>
      </c>
    </row>
    <row r="82" customFormat="false" ht="15.75" hidden="false" customHeight="false" outlineLevel="0" collapsed="false">
      <c r="A82" s="25" t="n">
        <f aca="false">IF('Переформатированный ответ'!A73="","",DATE(2017,MONTH('Переформатированный ответ'!A73),DAY('Переформатированный ответ'!A73)))</f>
        <v>42873</v>
      </c>
      <c r="B82" s="0" t="n">
        <f aca="false">IF('Переформатированный ответ'!A73 = "","",HOUR('Переформатированный ответ'!A73))</f>
        <v>17</v>
      </c>
      <c r="D82" s="0" t="str">
        <f aca="false">IF(C82 = "","",COUNTIF($A$2:$A$200,C82))</f>
        <v/>
      </c>
    </row>
    <row r="83" customFormat="false" ht="15.75" hidden="false" customHeight="false" outlineLevel="0" collapsed="false">
      <c r="A83" s="0" t="e">
        <f aca="false">IF(#REF!="","",DATE(2017,MONTH(#REF!),DAY(#REF!)))</f>
        <v>#REF!</v>
      </c>
      <c r="B83" s="0" t="e">
        <f aca="false">IF(#REF! = "","",HOUR(#REF!))</f>
        <v>#REF!</v>
      </c>
      <c r="D83" s="0" t="str">
        <f aca="false">IF(C83 = "","",COUNTIF($A$2:$A$200,C83))</f>
        <v/>
      </c>
    </row>
    <row r="84" customFormat="false" ht="15.75" hidden="false" customHeight="false" outlineLevel="0" collapsed="false">
      <c r="A84" s="25" t="n">
        <f aca="false">IF('Переформатированный ответ'!A74="","",DATE(2017,MONTH('Переформатированный ответ'!A74),DAY('Переформатированный ответ'!A74)))</f>
        <v>42873</v>
      </c>
      <c r="B84" s="0" t="n">
        <f aca="false">IF('Переформатированный ответ'!A74 = "","",HOUR('Переформатированный ответ'!A74))</f>
        <v>17</v>
      </c>
      <c r="D84" s="0" t="str">
        <f aca="false">IF(C84 = "","",COUNTIF($A$2:$A$200,C84))</f>
        <v/>
      </c>
    </row>
    <row r="85" customFormat="false" ht="15.75" hidden="false" customHeight="false" outlineLevel="0" collapsed="false">
      <c r="A85" s="25" t="n">
        <f aca="false">IF('Переформатированный ответ'!A75="","",DATE(2017,MONTH('Переформатированный ответ'!A75),DAY('Переформатированный ответ'!A75)))</f>
        <v>42873</v>
      </c>
      <c r="B85" s="0" t="n">
        <f aca="false">IF('Переформатированный ответ'!A75 = "","",HOUR('Переформатированный ответ'!A75))</f>
        <v>19</v>
      </c>
      <c r="D85" s="0" t="str">
        <f aca="false">IF(C85 = "","",COUNTIF($A$2:$A$200,C85))</f>
        <v/>
      </c>
    </row>
    <row r="86" customFormat="false" ht="15.75" hidden="false" customHeight="false" outlineLevel="0" collapsed="false">
      <c r="A86" s="25" t="n">
        <f aca="false">IF('Переформатированный ответ'!A76="","",DATE(2017,MONTH('Переформатированный ответ'!A76),DAY('Переформатированный ответ'!A76)))</f>
        <v>42874</v>
      </c>
      <c r="B86" s="0" t="n">
        <f aca="false">IF('Переформатированный ответ'!A76 = "","",HOUR('Переформатированный ответ'!A76))</f>
        <v>10</v>
      </c>
      <c r="D86" s="0" t="str">
        <f aca="false">IF(C86 = "","",COUNTIF($A$2:$A$200,C86))</f>
        <v/>
      </c>
    </row>
    <row r="87" customFormat="false" ht="15.75" hidden="false" customHeight="false" outlineLevel="0" collapsed="false">
      <c r="A87" s="25" t="n">
        <f aca="false">IF('Переформатированный ответ'!A77="","",DATE(2017,MONTH('Переформатированный ответ'!A77),DAY('Переформатированный ответ'!A77)))</f>
        <v>42874</v>
      </c>
      <c r="B87" s="0" t="n">
        <f aca="false">IF('Переформатированный ответ'!A77 = "","",HOUR('Переформатированный ответ'!A77))</f>
        <v>11</v>
      </c>
      <c r="D87" s="0" t="str">
        <f aca="false">IF(C87 = "","",COUNTIF($A$2:$A$200,C87))</f>
        <v/>
      </c>
    </row>
    <row r="88" customFormat="false" ht="15.75" hidden="false" customHeight="false" outlineLevel="0" collapsed="false">
      <c r="A88" s="25" t="n">
        <f aca="false">IF('Переформатированный ответ'!A78="","",DATE(2017,MONTH('Переформатированный ответ'!A78),DAY('Переформатированный ответ'!A78)))</f>
        <v>42874</v>
      </c>
      <c r="B88" s="0" t="n">
        <f aca="false">IF('Переформатированный ответ'!A78 = "","",HOUR('Переформатированный ответ'!A78))</f>
        <v>18</v>
      </c>
      <c r="D88" s="0" t="str">
        <f aca="false">IF(C88 = "","",COUNTIF($A$2:$A$200,C88))</f>
        <v/>
      </c>
    </row>
    <row r="89" customFormat="false" ht="15.75" hidden="false" customHeight="false" outlineLevel="0" collapsed="false">
      <c r="A89" s="0" t="e">
        <f aca="false">IF(#REF!="","",DATE(2017,MONTH(#REF!),DAY(#REF!)))</f>
        <v>#REF!</v>
      </c>
      <c r="B89" s="0" t="e">
        <f aca="false">IF(#REF! = "","",HOUR(#REF!))</f>
        <v>#REF!</v>
      </c>
      <c r="D89" s="0" t="str">
        <f aca="false">IF(C89 = "","",COUNTIF($A$2:$A$200,C89))</f>
        <v/>
      </c>
    </row>
    <row r="90" customFormat="false" ht="15.75" hidden="false" customHeight="false" outlineLevel="0" collapsed="false">
      <c r="A90" s="0" t="e">
        <f aca="false">IF(#REF!="","",DATE(2017,MONTH(#REF!),DAY(#REF!)))</f>
        <v>#REF!</v>
      </c>
      <c r="B90" s="0" t="e">
        <f aca="false">IF(#REF! = "","",HOUR(#REF!))</f>
        <v>#REF!</v>
      </c>
      <c r="D90" s="0" t="str">
        <f aca="false">IF(C90 = "","",COUNTIF($A$2:$A$100,C90))</f>
        <v/>
      </c>
    </row>
    <row r="91" customFormat="false" ht="15.75" hidden="false" customHeight="false" outlineLevel="0" collapsed="false">
      <c r="A91" s="25" t="n">
        <f aca="false">IF('Переформатированный ответ'!A79="","",DATE(2017,MONTH('Переформатированный ответ'!A79),DAY('Переформатированный ответ'!A79)))</f>
        <v>42876</v>
      </c>
      <c r="B91" s="0" t="n">
        <f aca="false">IF('Переформатированный ответ'!A79 = "","",HOUR('Переформатированный ответ'!A79))</f>
        <v>17</v>
      </c>
      <c r="D91" s="0" t="str">
        <f aca="false">IF(C91 = "","",COUNTIF($A$2:$A$100,C91))</f>
        <v/>
      </c>
    </row>
    <row r="92" customFormat="false" ht="15.75" hidden="false" customHeight="false" outlineLevel="0" collapsed="false">
      <c r="A92" s="25" t="n">
        <f aca="false">IF('Переформатированный ответ'!A79="","",DATE(2017,MONTH('Переформатированный ответ'!A79),DAY('Переформатированный ответ'!A79)))</f>
        <v>42876</v>
      </c>
      <c r="B92" s="0" t="n">
        <f aca="false">IF('Переформатированный ответ'!A79 = "","",HOUR('Переформатированный ответ'!A79))</f>
        <v>17</v>
      </c>
      <c r="D92" s="0" t="str">
        <f aca="false">IF(C92 = "","",COUNTIF($A$2:$A$100,C92))</f>
        <v/>
      </c>
    </row>
    <row r="93" customFormat="false" ht="15.75" hidden="false" customHeight="false" outlineLevel="0" collapsed="false">
      <c r="A93" s="25" t="n">
        <f aca="false">IF('Переформатированный ответ'!A80="","",DATE(2017,MONTH('Переформатированный ответ'!A80),DAY('Переформатированный ответ'!A80)))</f>
        <v>42876</v>
      </c>
      <c r="B93" s="0" t="n">
        <f aca="false">IF('Переформатированный ответ'!A80 = "","",HOUR('Переформатированный ответ'!A80))</f>
        <v>22</v>
      </c>
      <c r="D93" s="0" t="str">
        <f aca="false">IF(C93 = "","",COUNTIF($A$2:$A$100,C93))</f>
        <v/>
      </c>
    </row>
    <row r="94" customFormat="false" ht="15.75" hidden="false" customHeight="false" outlineLevel="0" collapsed="false">
      <c r="A94" s="0" t="e">
        <f aca="false">IF('Переформатированный ответ'!A80:A81="","",DATE(2017,MONTH('Переформатированный ответ'!A80:A81),DAY('Переформатированный ответ'!A80:A81)))</f>
        <v>#VALUE!</v>
      </c>
      <c r="B94" s="0" t="e">
        <f aca="false">IF('Переформатированный ответ'!A80:A81 = "","",HOUR('Переформатированный ответ'!A80:A81))</f>
        <v>#VALUE!</v>
      </c>
      <c r="D94" s="0" t="str">
        <f aca="false">IF(C94 = "","",COUNTIF($A$2:$A$100,C94))</f>
        <v/>
      </c>
    </row>
    <row r="95" customFormat="false" ht="15.75" hidden="false" customHeight="false" outlineLevel="0" collapsed="false">
      <c r="A95" s="0" t="e">
        <f aca="false">IF('Переформатированный ответ'!A81:A82="","",DATE(2017,MONTH('Переформатированный ответ'!A81:A82),DAY('Переформатированный ответ'!A81:A82)))</f>
        <v>#VALUE!</v>
      </c>
      <c r="B95" s="0" t="e">
        <f aca="false">IF('Переформатированный ответ'!A81:A82 = "","",HOUR('Переформатированный ответ'!A81:A82))</f>
        <v>#VALUE!</v>
      </c>
      <c r="D95" s="0" t="str">
        <f aca="false">IF(C95 = "","",COUNTIF($A$2:$A$100,C95))</f>
        <v/>
      </c>
    </row>
    <row r="96" customFormat="false" ht="15.75" hidden="false" customHeight="false" outlineLevel="0" collapsed="false">
      <c r="A96" s="0" t="e">
        <f aca="false">IF('Переформатированный ответ'!A82:A83="","",DATE(2017,MONTH('Переформатированный ответ'!A82:A83),DAY('Переформатированный ответ'!A82:A83)))</f>
        <v>#VALUE!</v>
      </c>
      <c r="B96" s="0" t="e">
        <f aca="false">IF('Переформатированный ответ'!A82:A83 = "","",HOUR('Переформатированный ответ'!A82:A83))</f>
        <v>#VALUE!</v>
      </c>
    </row>
    <row r="97" customFormat="false" ht="15.75" hidden="false" customHeight="false" outlineLevel="0" collapsed="false">
      <c r="A97" s="0" t="e">
        <f aca="false">IF('Переформатированный ответ'!A83:A84="","",DATE(2017,MONTH('Переформатированный ответ'!A83:A84),DAY('Переформатированный ответ'!A83:A84)))</f>
        <v>#VALUE!</v>
      </c>
      <c r="B97" s="0" t="e">
        <f aca="false">IF('Переформатированный ответ'!A83:A84 = "","",HOUR('Переформатированный ответ'!A83:A84))</f>
        <v>#VALUE!</v>
      </c>
    </row>
    <row r="98" customFormat="false" ht="15.75" hidden="false" customHeight="false" outlineLevel="0" collapsed="false">
      <c r="A98" s="0" t="e">
        <f aca="false">IF('Переформатированный ответ'!A84:A85="","",DATE(2017,MONTH('Переформатированный ответ'!A84:A85),DAY('Переформатированный ответ'!A84:A85)))</f>
        <v>#VALUE!</v>
      </c>
      <c r="B98" s="0" t="e">
        <f aca="false">IF('Переформатированный ответ'!A84:A85 = "","",HOUR('Переформатированный ответ'!A84:A85))</f>
        <v>#VALUE!</v>
      </c>
    </row>
    <row r="99" customFormat="false" ht="15.75" hidden="false" customHeight="false" outlineLevel="0" collapsed="false">
      <c r="A99" s="0" t="e">
        <f aca="false">IF('Переформатированный ответ'!A85:A86="","",DATE(2017,MONTH('Переформатированный ответ'!A85:A86),DAY('Переформатированный ответ'!A85:A86)))</f>
        <v>#VALUE!</v>
      </c>
      <c r="B99" s="0" t="e">
        <f aca="false">IF('Переформатированный ответ'!A85:A86 = "","",HOUR('Переформатированный ответ'!A85:A86))</f>
        <v>#VALUE!</v>
      </c>
    </row>
    <row r="100" customFormat="false" ht="15.75" hidden="false" customHeight="false" outlineLevel="0" collapsed="false">
      <c r="A100" s="0" t="e">
        <f aca="false">IF('Переформатированный ответ'!A86:A87="","",DATE(2017,MONTH('Переформатированный ответ'!A86:A87),DAY('Переформатированный ответ'!A86:A87)))</f>
        <v>#VALUE!</v>
      </c>
      <c r="B100" s="0" t="e">
        <f aca="false">IF('Переформатированный ответ'!A86:A87 = "","",HOUR('Переформатированный ответ'!A86:A87))</f>
        <v>#VALUE!</v>
      </c>
    </row>
    <row r="101" customFormat="false" ht="15.75" hidden="false" customHeight="false" outlineLevel="0" collapsed="false">
      <c r="A101" s="0" t="e">
        <f aca="false">IF('Переформатированный ответ'!A87:A88="","",DATE(2017,MONTH('Переформатированный ответ'!A87:A88),DAY('Переформатированный ответ'!A87:A88)))</f>
        <v>#VALUE!</v>
      </c>
      <c r="B101" s="0" t="e">
        <f aca="false">IF('Переформатированный ответ'!A87:A88 = "","",HOUR('Переформатированный ответ'!A87:A88))</f>
        <v>#VALUE!</v>
      </c>
    </row>
    <row r="102" customFormat="false" ht="15.75" hidden="false" customHeight="false" outlineLevel="0" collapsed="false">
      <c r="A102" s="0" t="e">
        <f aca="false">IF('Переформатированный ответ'!A88:A89="","",DATE(2017,MONTH('Переформатированный ответ'!A88:A89),DAY('Переформатированный ответ'!A88:A89)))</f>
        <v>#VALUE!</v>
      </c>
      <c r="B102" s="0" t="e">
        <f aca="false">IF('Переформатированный ответ'!A88:A89 = "","",HOUR('Переформатированный ответ'!A88:A89))</f>
        <v>#VALUE!</v>
      </c>
    </row>
    <row r="103" customFormat="false" ht="15.75" hidden="false" customHeight="false" outlineLevel="0" collapsed="false">
      <c r="A103" s="0" t="e">
        <f aca="false">IF('Переформатированный ответ'!A89:A90="","",DATE(2017,MONTH('Переформатированный ответ'!A89:A90),DAY('Переформатированный ответ'!A89:A90)))</f>
        <v>#VALUE!</v>
      </c>
      <c r="B103" s="0" t="e">
        <f aca="false">IF('Переформатированный ответ'!A89:A90 = "","",HOUR('Переформатированный ответ'!A89:A90))</f>
        <v>#VALUE!</v>
      </c>
    </row>
    <row r="104" customFormat="false" ht="15.75" hidden="false" customHeight="false" outlineLevel="0" collapsed="false">
      <c r="A104" s="0" t="e">
        <f aca="false">IF('Переформатированный ответ'!A90:A91="","",DATE(2017,MONTH('Переформатированный ответ'!A90:A91),DAY('Переформатированный ответ'!A90:A91)))</f>
        <v>#VALUE!</v>
      </c>
      <c r="B104" s="0" t="e">
        <f aca="false">IF('Переформатированный ответ'!A90:A91 = "","",HOUR('Переформатированный ответ'!A90:A91))</f>
        <v>#VALUE!</v>
      </c>
    </row>
    <row r="105" customFormat="false" ht="15.75" hidden="false" customHeight="false" outlineLevel="0" collapsed="false">
      <c r="A105" s="0" t="e">
        <f aca="false">IF('Переформатированный ответ'!A91:A92="","",DATE(2017,MONTH('Переформатированный ответ'!A91:A92),DAY('Переформатированный ответ'!A91:A92)))</f>
        <v>#VALUE!</v>
      </c>
      <c r="B105" s="0" t="e">
        <f aca="false">IF('Переформатированный ответ'!A91:A92 = "","",HOUR('Переформатированный ответ'!A91:A92))</f>
        <v>#VALUE!</v>
      </c>
    </row>
    <row r="106" customFormat="false" ht="15.75" hidden="false" customHeight="false" outlineLevel="0" collapsed="false">
      <c r="A106" s="0" t="e">
        <f aca="false">IF('Переформатированный ответ'!A92:A93="","",DATE(2017,MONTH('Переформатированный ответ'!A92:A93),DAY('Переформатированный ответ'!A92:A93)))</f>
        <v>#VALUE!</v>
      </c>
      <c r="B106" s="0" t="e">
        <f aca="false">IF('Переформатированный ответ'!A92:A93 = "","",HOUR('Переформатированный ответ'!A92:A93))</f>
        <v>#VALUE!</v>
      </c>
    </row>
    <row r="107" customFormat="false" ht="15.75" hidden="false" customHeight="false" outlineLevel="0" collapsed="false">
      <c r="A107" s="0" t="e">
        <f aca="false">IF('Переформатированный ответ'!A93:A94="","",DATE(2017,MONTH('Переформатированный ответ'!A93:A94),DAY('Переформатированный ответ'!A93:A94)))</f>
        <v>#VALUE!</v>
      </c>
      <c r="B107" s="0" t="e">
        <f aca="false">IF('Переформатированный ответ'!A93:A94 = "","",HOUR('Переформатированный ответ'!A93:A94))</f>
        <v>#VALUE!</v>
      </c>
    </row>
    <row r="108" customFormat="false" ht="15.75" hidden="false" customHeight="false" outlineLevel="0" collapsed="false">
      <c r="A108" s="0" t="e">
        <f aca="false">IF('Переформатированный ответ'!A94:A95="","",DATE(2017,MONTH('Переформатированный ответ'!A94:A95),DAY('Переформатированный ответ'!A94:A95)))</f>
        <v>#VALUE!</v>
      </c>
      <c r="B108" s="0" t="e">
        <f aca="false">IF('Переформатированный ответ'!A94:A95 = "","",HOUR('Переформатированный ответ'!A94:A95))</f>
        <v>#VALUE!</v>
      </c>
    </row>
    <row r="109" customFormat="false" ht="15.75" hidden="false" customHeight="false" outlineLevel="0" collapsed="false">
      <c r="A109" s="0" t="e">
        <f aca="false">IF('Переформатированный ответ'!A95:A96="","",DATE(2017,MONTH('Переформатированный ответ'!A95:A96),DAY('Переформатированный ответ'!A95:A96)))</f>
        <v>#VALUE!</v>
      </c>
      <c r="B109" s="0" t="e">
        <f aca="false">IF('Переформатированный ответ'!A95:A96 = "","",HOUR('Переформатированный ответ'!A95:A96))</f>
        <v>#VALUE!</v>
      </c>
    </row>
    <row r="110" customFormat="false" ht="15.75" hidden="false" customHeight="false" outlineLevel="0" collapsed="false">
      <c r="A110" s="0" t="e">
        <f aca="false">IF('Переформатированный ответ'!A96:A97="","",DATE(2017,MONTH('Переформатированный ответ'!A96:A97),DAY('Переформатированный ответ'!A96:A97)))</f>
        <v>#VALUE!</v>
      </c>
      <c r="B110" s="0" t="e">
        <f aca="false">IF('Переформатированный ответ'!A96:A97 = "","",HOUR('Переформатированный ответ'!A96:A97))</f>
        <v>#VALUE!</v>
      </c>
    </row>
    <row r="111" customFormat="false" ht="15.75" hidden="false" customHeight="false" outlineLevel="0" collapsed="false">
      <c r="A111" s="25" t="n">
        <f aca="false">IF('Переформатированный ответ'!A96="","",DATE(2017,MONTH('Переформатированный ответ'!A96),DAY('Переформатированный ответ'!A96)))</f>
        <v>42884</v>
      </c>
      <c r="B111" s="0" t="n">
        <f aca="false">IF('Переформатированный ответ'!A96 = "","",HOUR('Переформатированный ответ'!A96))</f>
        <v>15</v>
      </c>
    </row>
    <row r="112" customFormat="false" ht="15.75" hidden="false" customHeight="false" outlineLevel="0" collapsed="false">
      <c r="A112" s="25" t="n">
        <f aca="false">IF('Переформатированный ответ'!A97="","",DATE(2017,MONTH('Переформатированный ответ'!A97),DAY('Переформатированный ответ'!A97)))</f>
        <v>42884</v>
      </c>
      <c r="B112" s="0" t="n">
        <f aca="false">IF('Переформатированный ответ'!A97 = "","",HOUR('Переформатированный ответ'!A97))</f>
        <v>17</v>
      </c>
    </row>
    <row r="113" customFormat="false" ht="15.75" hidden="false" customHeight="false" outlineLevel="0" collapsed="false">
      <c r="A113" s="0" t="e">
        <f aca="false">IF(#REF!="","",DATE(2017,MONTH(#REF!),DAY(#REF!)))</f>
        <v>#REF!</v>
      </c>
      <c r="B113" s="0" t="e">
        <f aca="false">IF(#REF! = "","",HOUR(#REF!))</f>
        <v>#REF!</v>
      </c>
    </row>
    <row r="114" customFormat="false" ht="15.75" hidden="false" customHeight="false" outlineLevel="0" collapsed="false">
      <c r="A114" s="0" t="e">
        <f aca="false">IF(#REF!="","",DATE(2017,MONTH(#REF!),DAY(#REF!)))</f>
        <v>#REF!</v>
      </c>
      <c r="B114" s="0" t="e">
        <f aca="false">IF(#REF! = "","",HOUR(#REF!))</f>
        <v>#REF!</v>
      </c>
    </row>
    <row r="115" customFormat="false" ht="15.75" hidden="false" customHeight="false" outlineLevel="0" collapsed="false">
      <c r="A115" s="25" t="n">
        <f aca="false">IF('Переформатированный ответ'!A98="","",DATE(2017,MONTH('Переформатированный ответ'!A98),DAY('Переформатированный ответ'!A98)))</f>
        <v>42885</v>
      </c>
      <c r="B115" s="0" t="n">
        <f aca="false">IF('Переформатированный ответ'!A98 = "","",HOUR('Переформатированный ответ'!A98))</f>
        <v>6</v>
      </c>
    </row>
    <row r="116" customFormat="false" ht="15.75" hidden="false" customHeight="false" outlineLevel="0" collapsed="false">
      <c r="A116" s="25" t="n">
        <f aca="false">IF('Переформатированный ответ'!A100="","",DATE(2017,MONTH('Переформатированный ответ'!A100),DAY('Переформатированный ответ'!A100)))</f>
        <v>42885</v>
      </c>
      <c r="B116" s="0" t="n">
        <f aca="false">IF('Переформатированный ответ'!A100 = "","",HOUR('Переформатированный ответ'!A100))</f>
        <v>10</v>
      </c>
    </row>
    <row r="117" customFormat="false" ht="15.75" hidden="false" customHeight="false" outlineLevel="0" collapsed="false">
      <c r="A117" s="0" t="e">
        <f aca="false">IF(#REF!="","",DATE(2017,MONTH(#REF!),DAY(#REF!)))</f>
        <v>#REF!</v>
      </c>
      <c r="B117" s="0" t="e">
        <f aca="false">IF(#REF! = "","",HOUR(#REF!))</f>
        <v>#REF!</v>
      </c>
    </row>
    <row r="118" customFormat="false" ht="15.75" hidden="false" customHeight="false" outlineLevel="0" collapsed="false">
      <c r="A118" s="25" t="n">
        <f aca="false">IF('Переформатированный ответ'!A101="","",DATE(2017,MONTH('Переформатированный ответ'!A101),DAY('Переформатированный ответ'!A101)))</f>
        <v>42885</v>
      </c>
      <c r="B118" s="0" t="n">
        <f aca="false">IF('Переформатированный ответ'!A101 = "","",HOUR('Переформатированный ответ'!A101))</f>
        <v>18</v>
      </c>
    </row>
    <row r="119" customFormat="false" ht="15.75" hidden="false" customHeight="false" outlineLevel="0" collapsed="false">
      <c r="A119" s="25" t="n">
        <f aca="false">IF('Переформатированный ответ'!A102="","",DATE(2017,MONTH('Переформатированный ответ'!A102),DAY('Переформатированный ответ'!A102)))</f>
        <v>42886</v>
      </c>
      <c r="B119" s="0" t="n">
        <f aca="false">IF('Переформатированный ответ'!A102 = "","",HOUR('Переформатированный ответ'!A102))</f>
        <v>14</v>
      </c>
    </row>
    <row r="120" customFormat="false" ht="15.75" hidden="false" customHeight="false" outlineLevel="0" collapsed="false">
      <c r="A120" s="25" t="n">
        <f aca="false">IF('Переформатированный ответ'!A103="","",DATE(2017,MONTH('Переформатированный ответ'!A103),DAY('Переформатированный ответ'!A103)))</f>
        <v>42886</v>
      </c>
      <c r="B120" s="0" t="n">
        <f aca="false">IF('Переформатированный ответ'!A103 = "","",HOUR('Переформатированный ответ'!A103))</f>
        <v>16</v>
      </c>
    </row>
    <row r="121" customFormat="false" ht="15.75" hidden="false" customHeight="false" outlineLevel="0" collapsed="false">
      <c r="A121" s="0" t="e">
        <f aca="false">IF(#REF!="","",DATE(2017,MONTH(#REF!),DAY(#REF!)))</f>
        <v>#REF!</v>
      </c>
      <c r="B121" s="0" t="e">
        <f aca="false">IF(#REF! = "","",HOUR(#REF!))</f>
        <v>#REF!</v>
      </c>
    </row>
    <row r="122" customFormat="false" ht="15.75" hidden="false" customHeight="false" outlineLevel="0" collapsed="false">
      <c r="A122" s="25" t="n">
        <f aca="false">IF('Переформатированный ответ'!A104="","",DATE(2017,MONTH('Переформатированный ответ'!A104),DAY('Переформатированный ответ'!A104)))</f>
        <v>42886</v>
      </c>
      <c r="B122" s="0" t="n">
        <f aca="false">IF('Переформатированный ответ'!A104 = "","",HOUR('Переформатированный ответ'!A104))</f>
        <v>20</v>
      </c>
    </row>
    <row r="123" customFormat="false" ht="15.75" hidden="false" customHeight="false" outlineLevel="0" collapsed="false">
      <c r="A123" s="25" t="n">
        <f aca="false">IF('Переформатированный ответ'!A107="","",DATE(2017,MONTH('Переформатированный ответ'!A107),DAY('Переформатированный ответ'!A107)))</f>
        <v>42888</v>
      </c>
      <c r="B123" s="0" t="n">
        <f aca="false">IF('Переформатированный ответ'!A107 = "","",HOUR('Переформатированный ответ'!A107))</f>
        <v>16</v>
      </c>
    </row>
    <row r="124" customFormat="false" ht="15.75" hidden="false" customHeight="false" outlineLevel="0" collapsed="false">
      <c r="A124" s="25" t="n">
        <f aca="false">IF('Переформатированный ответ'!A108="","",DATE(2017,MONTH('Переформатированный ответ'!A108),DAY('Переформатированный ответ'!A108)))</f>
        <v>42893</v>
      </c>
      <c r="B124" s="0" t="n">
        <f aca="false">IF('Переформатированный ответ'!A108 = "","",HOUR('Переформатированный ответ'!A108))</f>
        <v>21</v>
      </c>
    </row>
    <row r="125" customFormat="false" ht="15.75" hidden="false" customHeight="false" outlineLevel="0" collapsed="false">
      <c r="A125" s="25" t="n">
        <f aca="false">IF('Переформатированный ответ'!A109="","",DATE(2017,MONTH('Переформатированный ответ'!A109),DAY('Переформатированный ответ'!A109)))</f>
        <v>42896</v>
      </c>
      <c r="B125" s="0" t="n">
        <f aca="false">IF('Переформатированный ответ'!A109 = "","",HOUR('Переформатированный ответ'!A109))</f>
        <v>11</v>
      </c>
    </row>
    <row r="126" customFormat="false" ht="15.75" hidden="false" customHeight="false" outlineLevel="0" collapsed="false">
      <c r="A126" s="25" t="n">
        <f aca="false">IF('Переформатированный ответ'!A110="","",DATE(2017,MONTH('Переформатированный ответ'!A110),DAY('Переформатированный ответ'!A110)))</f>
        <v>42905</v>
      </c>
      <c r="B126" s="0" t="n">
        <f aca="false">IF('Переформатированный ответ'!A110 = "","",HOUR('Переформатированный ответ'!A110))</f>
        <v>0</v>
      </c>
    </row>
    <row r="127" customFormat="false" ht="15.75" hidden="false" customHeight="false" outlineLevel="0" collapsed="false">
      <c r="A127" s="25" t="n">
        <f aca="false">IF('Переформатированный ответ'!A111="","",DATE(2017,MONTH('Переформатированный ответ'!A111),DAY('Переформатированный ответ'!A111)))</f>
        <v>42922</v>
      </c>
      <c r="B127" s="0" t="n">
        <f aca="false">IF('Переформатированный ответ'!A111 = "","",HOUR('Переформатированный ответ'!A111))</f>
        <v>10</v>
      </c>
    </row>
    <row r="128" customFormat="false" ht="15.75" hidden="false" customHeight="false" outlineLevel="0" collapsed="false">
      <c r="A128" s="25" t="n">
        <f aca="false">IF('Переформатированный ответ'!A112="","",DATE(2017,MONTH('Переформатированный ответ'!A112),DAY('Переформатированный ответ'!A112)))</f>
        <v>42927</v>
      </c>
      <c r="B128" s="0" t="n">
        <f aca="false">IF('Переформатированный ответ'!A112 = "","",HOUR('Переформатированный ответ'!A112))</f>
        <v>13</v>
      </c>
    </row>
    <row r="129" customFormat="false" ht="15.75" hidden="false" customHeight="false" outlineLevel="0" collapsed="false">
      <c r="A129" s="25" t="n">
        <f aca="false">IF('Переформатированный ответ'!A113="","",DATE(2017,MONTH('Переформатированный ответ'!A113),DAY('Переформатированный ответ'!A113)))</f>
        <v>42927</v>
      </c>
      <c r="B129" s="0" t="n">
        <f aca="false">IF('Переформатированный ответ'!A113 = "","",HOUR('Переформатированный ответ'!A113))</f>
        <v>13</v>
      </c>
    </row>
    <row r="130" customFormat="false" ht="15.75" hidden="false" customHeight="false" outlineLevel="0" collapsed="false">
      <c r="A130" s="0" t="n">
        <f aca="false">IF('Переформатированный ответ'!A114="","",DATE(2017,MONTH('Переформатированный ответ'!A114),DAY('Переформатированный ответ'!A114)))</f>
        <v>43099</v>
      </c>
      <c r="B130" s="0" t="n">
        <f aca="false">IF('Переформатированный ответ'!A114 = "","",HOUR('Переформатированный ответ'!A114))</f>
        <v>0</v>
      </c>
    </row>
    <row r="131" customFormat="false" ht="15.75" hidden="false" customHeight="false" outlineLevel="0" collapsed="false">
      <c r="A131" s="0" t="n">
        <f aca="false">IF('Переформатированный ответ'!A115="","",DATE(2017,MONTH('Переформатированный ответ'!A115),DAY('Переформатированный ответ'!A115)))</f>
        <v>43099</v>
      </c>
      <c r="B131" s="0" t="n">
        <f aca="false">IF('Переформатированный ответ'!A115 = "","",HOUR('Переформатированный ответ'!A115))</f>
        <v>0</v>
      </c>
    </row>
    <row r="132" customFormat="false" ht="15.75" hidden="false" customHeight="false" outlineLevel="0" collapsed="false">
      <c r="A132" s="0" t="n">
        <f aca="false">IF('Переформатированный ответ'!A116="","",DATE(2017,MONTH('Переформатированный ответ'!A116),DAY('Переформатированный ответ'!A116)))</f>
        <v>43099</v>
      </c>
      <c r="B132" s="0" t="n">
        <f aca="false">IF('Переформатированный ответ'!A116 = "","",HOUR('Переформатированный ответ'!A116))</f>
        <v>0</v>
      </c>
    </row>
    <row r="133" customFormat="false" ht="15.75" hidden="false" customHeight="false" outlineLevel="0" collapsed="false">
      <c r="A133" s="0" t="n">
        <f aca="false">IF('Переформатированный ответ'!A117="","",DATE(2017,MONTH('Переформатированный ответ'!A117),DAY('Переформатированный ответ'!A117)))</f>
        <v>43099</v>
      </c>
      <c r="B133" s="0" t="n">
        <f aca="false">IF('Переформатированный ответ'!A117 = "","",HOUR('Переформатированный ответ'!A117))</f>
        <v>0</v>
      </c>
    </row>
    <row r="134" customFormat="false" ht="15.75" hidden="false" customHeight="false" outlineLevel="0" collapsed="false">
      <c r="A134" s="0" t="n">
        <f aca="false">IF('Переформатированный ответ'!A118="","",DATE(2017,MONTH('Переформатированный ответ'!A118),DAY('Переформатированный ответ'!A118)))</f>
        <v>43099</v>
      </c>
      <c r="B134" s="0" t="n">
        <f aca="false">IF('Переформатированный ответ'!A118 = "","",HOUR('Переформатированный ответ'!A118))</f>
        <v>0</v>
      </c>
    </row>
    <row r="135" customFormat="false" ht="15.75" hidden="false" customHeight="false" outlineLevel="0" collapsed="false">
      <c r="A135" s="0" t="n">
        <f aca="false">IF('Переформатированный ответ'!A119="","",DATE(2017,MONTH('Переформатированный ответ'!A119),DAY('Переформатированный ответ'!A119)))</f>
        <v>43099</v>
      </c>
      <c r="B135" s="0" t="n">
        <f aca="false">IF('Переформатированный ответ'!A119 = "","",HOUR('Переформатированный ответ'!A119))</f>
        <v>0</v>
      </c>
    </row>
    <row r="136" customFormat="false" ht="15.75" hidden="false" customHeight="false" outlineLevel="0" collapsed="false">
      <c r="A136" s="0" t="n">
        <f aca="false">IF('Переформатированный ответ'!A120="","",DATE(2017,MONTH('Переформатированный ответ'!A120),DAY('Переформатированный ответ'!A120)))</f>
        <v>43099</v>
      </c>
      <c r="B136" s="0" t="n">
        <f aca="false">IF('Переформатированный ответ'!A120 = "","",HOUR('Переформатированный ответ'!A120))</f>
        <v>0</v>
      </c>
    </row>
    <row r="137" customFormat="false" ht="15.75" hidden="false" customHeight="false" outlineLevel="0" collapsed="false">
      <c r="A137" s="0" t="n">
        <f aca="false">IF('Переформатированный ответ'!A121="","",DATE(2017,MONTH('Переформатированный ответ'!A121),DAY('Переформатированный ответ'!A121)))</f>
        <v>43099</v>
      </c>
      <c r="B137" s="0" t="n">
        <f aca="false">IF('Переформатированный ответ'!A121 = "","",HOUR('Переформатированный ответ'!A121))</f>
        <v>0</v>
      </c>
    </row>
    <row r="138" customFormat="false" ht="15.75" hidden="false" customHeight="false" outlineLevel="0" collapsed="false">
      <c r="A138" s="0" t="n">
        <f aca="false">IF('Переформатированный ответ'!A122="","",DATE(2017,MONTH('Переформатированный ответ'!A122),DAY('Переформатированный ответ'!A122)))</f>
        <v>43099</v>
      </c>
      <c r="B138" s="0" t="n">
        <f aca="false">IF('Переформатированный ответ'!A122 = "","",HOUR('Переформатированный ответ'!A122))</f>
        <v>0</v>
      </c>
    </row>
    <row r="139" customFormat="false" ht="15.75" hidden="false" customHeight="false" outlineLevel="0" collapsed="false">
      <c r="A139" s="0" t="n">
        <f aca="false">IF('Переформатированный ответ'!A123="","",DATE(2017,MONTH('Переформатированный ответ'!A123),DAY('Переформатированный ответ'!A123)))</f>
        <v>43099</v>
      </c>
      <c r="B139" s="0" t="n">
        <f aca="false">IF('Переформатированный ответ'!A123 = "","",HOUR('Переформатированный ответ'!A123))</f>
        <v>0</v>
      </c>
    </row>
    <row r="140" customFormat="false" ht="15.75" hidden="false" customHeight="false" outlineLevel="0" collapsed="false">
      <c r="A140" s="0" t="n">
        <f aca="false">IF('Переформатированный ответ'!A124="","",DATE(2017,MONTH('Переформатированный ответ'!A124),DAY('Переформатированный ответ'!A124)))</f>
        <v>43099</v>
      </c>
      <c r="B140" s="0" t="n">
        <f aca="false">IF('Переформатированный ответ'!A124 = "","",HOUR('Переформатированный ответ'!A124))</f>
        <v>0</v>
      </c>
    </row>
    <row r="141" customFormat="false" ht="15.75" hidden="false" customHeight="false" outlineLevel="0" collapsed="false">
      <c r="A141" s="0" t="n">
        <f aca="false">IF('Переформатированный ответ'!A125="","",DATE(2017,MONTH('Переформатированный ответ'!A125),DAY('Переформатированный ответ'!A125)))</f>
        <v>43099</v>
      </c>
      <c r="B141" s="0" t="n">
        <f aca="false">IF('Переформатированный ответ'!A125 = "","",HOUR('Переформатированный ответ'!A125))</f>
        <v>0</v>
      </c>
    </row>
    <row r="142" customFormat="false" ht="15.75" hidden="false" customHeight="false" outlineLevel="0" collapsed="false">
      <c r="A142" s="0" t="n">
        <f aca="false">IF('Переформатированный ответ'!A126="","",DATE(2017,MONTH('Переформатированный ответ'!A126),DAY('Переформатированный ответ'!A126)))</f>
        <v>43099</v>
      </c>
      <c r="B142" s="0" t="n">
        <f aca="false">IF('Переформатированный ответ'!A126 = "","",HOUR('Переформатированный ответ'!A126))</f>
        <v>0</v>
      </c>
    </row>
    <row r="143" customFormat="false" ht="15.75" hidden="false" customHeight="false" outlineLevel="0" collapsed="false">
      <c r="A143" s="0" t="str">
        <f aca="false">IF('Переформатированный ответ'!A127="","",DATE(2017,MONTH('Переформатированный ответ'!A127),DAY('Переформатированный ответ'!A127)))</f>
        <v/>
      </c>
      <c r="B143" s="0" t="str">
        <f aca="false">IF('Переформатированный ответ'!A127 = "","",HOUR('Переформатированный ответ'!A127))</f>
        <v/>
      </c>
    </row>
    <row r="144" customFormat="false" ht="15.75" hidden="false" customHeight="false" outlineLevel="0" collapsed="false">
      <c r="A144" s="0" t="str">
        <f aca="false">IF('Переформатированный ответ'!A128="","",DATE(2017,MONTH('Переформатированный ответ'!A128),DAY('Переформатированный ответ'!A128)))</f>
        <v/>
      </c>
      <c r="B144" s="0" t="str">
        <f aca="false">IF('Переформатированный ответ'!A128 = "","",HOUR('Переформатированный ответ'!A128))</f>
        <v/>
      </c>
    </row>
    <row r="145" customFormat="false" ht="15.75" hidden="false" customHeight="false" outlineLevel="0" collapsed="false">
      <c r="A145" s="0" t="str">
        <f aca="false">IF('Переформатированный ответ'!A129="","",DATE(2017,MONTH('Переформатированный ответ'!A129),DAY('Переформатированный ответ'!A129)))</f>
        <v/>
      </c>
      <c r="B145" s="0" t="str">
        <f aca="false">IF('Переформатированный ответ'!A129 = "","",HOUR('Переформатированный ответ'!A129))</f>
        <v/>
      </c>
    </row>
    <row r="146" customFormat="false" ht="15.75" hidden="false" customHeight="false" outlineLevel="0" collapsed="false">
      <c r="A146" s="0" t="str">
        <f aca="false">IF('Переформатированный ответ'!A130="","",DATE(2017,MONTH('Переформатированный ответ'!A130),DAY('Переформатированный ответ'!A130)))</f>
        <v/>
      </c>
      <c r="B146" s="0" t="str">
        <f aca="false">IF('Переформатированный ответ'!A130 = "","",HOUR('Переформатированный ответ'!A130))</f>
        <v/>
      </c>
    </row>
    <row r="147" customFormat="false" ht="15.75" hidden="false" customHeight="false" outlineLevel="0" collapsed="false">
      <c r="A147" s="0" t="str">
        <f aca="false">IF('Переформатированный ответ'!A131="","",DATE(2017,MONTH('Переформатированный ответ'!A131),DAY('Переформатированный ответ'!A131)))</f>
        <v/>
      </c>
      <c r="B147" s="0" t="str">
        <f aca="false">IF('Переформатированный ответ'!A131 = "","",HOUR('Переформатированный ответ'!A131))</f>
        <v/>
      </c>
    </row>
    <row r="148" customFormat="false" ht="15.75" hidden="false" customHeight="false" outlineLevel="0" collapsed="false">
      <c r="A148" s="0" t="str">
        <f aca="false">IF('Переформатированный ответ'!A132="","",DATE(2017,MONTH('Переформатированный ответ'!A132),DAY('Переформатированный ответ'!A132)))</f>
        <v/>
      </c>
      <c r="B148" s="0" t="str">
        <f aca="false">IF('Переформатированный ответ'!A132 = "","",HOUR('Переформатированный ответ'!A132))</f>
        <v/>
      </c>
    </row>
    <row r="149" customFormat="false" ht="15.75" hidden="false" customHeight="false" outlineLevel="0" collapsed="false">
      <c r="A149" s="0" t="str">
        <f aca="false">IF('Переформатированный ответ'!A133="","",DATE(2017,MONTH('Переформатированный ответ'!A133),DAY('Переформатированный ответ'!A133)))</f>
        <v/>
      </c>
      <c r="B149" s="0" t="str">
        <f aca="false">IF('Переформатированный ответ'!A133 = "","",HOUR('Переформатированный ответ'!A133))</f>
        <v/>
      </c>
    </row>
    <row r="150" customFormat="false" ht="15.75" hidden="false" customHeight="false" outlineLevel="0" collapsed="false">
      <c r="A150" s="0" t="str">
        <f aca="false">IF('Переформатированный ответ'!A134="","",DATE(2017,MONTH('Переформатированный ответ'!A134),DAY('Переформатированный ответ'!A134)))</f>
        <v/>
      </c>
      <c r="B150" s="0" t="str">
        <f aca="false">IF('Переформатированный ответ'!A134 = "","",HOUR('Переформатированный ответ'!A134))</f>
        <v/>
      </c>
    </row>
    <row r="151" customFormat="false" ht="15.75" hidden="false" customHeight="false" outlineLevel="0" collapsed="false">
      <c r="A151" s="0" t="str">
        <f aca="false">IF('Переформатированный ответ'!A135="","",DATE(2017,MONTH('Переформатированный ответ'!A135),DAY('Переформатированный ответ'!A135)))</f>
        <v/>
      </c>
      <c r="B151" s="0" t="str">
        <f aca="false">IF('Переформатированный ответ'!A135 = "","",HOUR('Переформатированный ответ'!A135))</f>
        <v/>
      </c>
    </row>
    <row r="152" customFormat="false" ht="15.75" hidden="false" customHeight="false" outlineLevel="0" collapsed="false">
      <c r="A152" s="0" t="str">
        <f aca="false">IF('Переформатированный ответ'!A136="","",DATE(2017,MONTH('Переформатированный ответ'!A136),DAY('Переформатированный ответ'!A136)))</f>
        <v/>
      </c>
      <c r="B152" s="0" t="str">
        <f aca="false">IF('Переформатированный ответ'!A136 = "","",HOUR('Переформатированный ответ'!A136))</f>
        <v/>
      </c>
    </row>
    <row r="153" customFormat="false" ht="15.75" hidden="false" customHeight="false" outlineLevel="0" collapsed="false">
      <c r="A153" s="0" t="str">
        <f aca="false">IF('Переформатированный ответ'!A137="","",DATE(2017,MONTH('Переформатированный ответ'!A137),DAY('Переформатированный ответ'!A137)))</f>
        <v/>
      </c>
      <c r="B153" s="0" t="str">
        <f aca="false">IF('Переформатированный ответ'!A137 = "","",HOUR('Переформатированный ответ'!A137))</f>
        <v/>
      </c>
    </row>
    <row r="154" customFormat="false" ht="15.75" hidden="false" customHeight="false" outlineLevel="0" collapsed="false">
      <c r="A154" s="0" t="str">
        <f aca="false">IF('Переформатированный ответ'!A138="","",DATE(2017,MONTH('Переформатированный ответ'!A138),DAY('Переформатированный ответ'!A138)))</f>
        <v/>
      </c>
      <c r="B154" s="0" t="str">
        <f aca="false">IF('Переформатированный ответ'!A138 = "","",HOUR('Переформатированный ответ'!A138))</f>
        <v/>
      </c>
    </row>
    <row r="155" customFormat="false" ht="15.75" hidden="false" customHeight="false" outlineLevel="0" collapsed="false">
      <c r="A155" s="0" t="str">
        <f aca="false">IF('Переформатированный ответ'!A139="","",DATE(2017,MONTH('Переформатированный ответ'!A139),DAY('Переформатированный ответ'!A139)))</f>
        <v/>
      </c>
      <c r="B155" s="0" t="str">
        <f aca="false">IF('Переформатированный ответ'!A139 = "","",HOUR('Переформатированный ответ'!A139))</f>
        <v/>
      </c>
    </row>
    <row r="156" customFormat="false" ht="15.75" hidden="false" customHeight="false" outlineLevel="0" collapsed="false">
      <c r="A156" s="0" t="str">
        <f aca="false">IF('Переформатированный ответ'!A140="","",DATE(2017,MONTH('Переформатированный ответ'!A140),DAY('Переформатированный ответ'!A140)))</f>
        <v/>
      </c>
      <c r="B156" s="0" t="str">
        <f aca="false">IF('Переформатированный ответ'!A140 = "","",HOUR('Переформатированный ответ'!A140))</f>
        <v/>
      </c>
    </row>
    <row r="157" customFormat="false" ht="15.75" hidden="false" customHeight="false" outlineLevel="0" collapsed="false">
      <c r="A157" s="0" t="str">
        <f aca="false">IF('Переформатированный ответ'!A141="","",DATE(2017,MONTH('Переформатированный ответ'!A141),DAY('Переформатированный ответ'!A141)))</f>
        <v/>
      </c>
      <c r="B157" s="0" t="str">
        <f aca="false">IF('Переформатированный ответ'!A141 = "","",HOUR('Переформатированный ответ'!A141))</f>
        <v/>
      </c>
    </row>
    <row r="158" customFormat="false" ht="15.75" hidden="false" customHeight="false" outlineLevel="0" collapsed="false">
      <c r="A158" s="0" t="str">
        <f aca="false">IF('Переформатированный ответ'!A142="","",DATE(2017,MONTH('Переформатированный ответ'!A142),DAY('Переформатированный ответ'!A142)))</f>
        <v/>
      </c>
      <c r="B158" s="0" t="str">
        <f aca="false">IF('Переформатированный ответ'!A142 = "","",HOUR('Переформатированный ответ'!A142))</f>
        <v/>
      </c>
    </row>
    <row r="159" customFormat="false" ht="15.75" hidden="false" customHeight="false" outlineLevel="0" collapsed="false">
      <c r="A159" s="0" t="str">
        <f aca="false">IF('Переформатированный ответ'!A143="","",DATE(2017,MONTH('Переформатированный ответ'!A143),DAY('Переформатированный ответ'!A143)))</f>
        <v/>
      </c>
      <c r="B159" s="0" t="str">
        <f aca="false">IF('Переформатированный ответ'!A143 = "","",HOUR('Переформатированный ответ'!A143))</f>
        <v/>
      </c>
    </row>
    <row r="160" customFormat="false" ht="15.75" hidden="false" customHeight="false" outlineLevel="0" collapsed="false">
      <c r="A160" s="0" t="str">
        <f aca="false">IF('Переформатированный ответ'!A144="","",DATE(2017,MONTH('Переформатированный ответ'!A144),DAY('Переформатированный ответ'!A144)))</f>
        <v/>
      </c>
      <c r="B160" s="0" t="str">
        <f aca="false">IF('Переформатированный ответ'!A144 = "","",HOUR('Переформатированный ответ'!A144))</f>
        <v/>
      </c>
    </row>
    <row r="161" customFormat="false" ht="15.75" hidden="false" customHeight="false" outlineLevel="0" collapsed="false">
      <c r="A161" s="0" t="str">
        <f aca="false">IF('Переформатированный ответ'!A145="","",DATE(2017,MONTH('Переформатированный ответ'!A145),DAY('Переформатированный ответ'!A145)))</f>
        <v/>
      </c>
      <c r="B161" s="0" t="str">
        <f aca="false">IF('Переформатированный ответ'!A145 = "","",HOUR('Переформатированный ответ'!A145))</f>
        <v/>
      </c>
    </row>
    <row r="162" customFormat="false" ht="15.75" hidden="false" customHeight="false" outlineLevel="0" collapsed="false">
      <c r="A162" s="0" t="str">
        <f aca="false">IF('Переформатированный ответ'!A146="","",DATE(2017,MONTH('Переформатированный ответ'!A146),DAY('Переформатированный ответ'!A146)))</f>
        <v/>
      </c>
      <c r="B162" s="0" t="str">
        <f aca="false">IF('Переформатированный ответ'!A146 = "","",HOUR('Переформатированный ответ'!A146))</f>
        <v/>
      </c>
    </row>
    <row r="163" customFormat="false" ht="15.75" hidden="false" customHeight="false" outlineLevel="0" collapsed="false">
      <c r="A163" s="0" t="str">
        <f aca="false">IF('Переформатированный ответ'!A147="","",DATE(2017,MONTH('Переформатированный ответ'!A147),DAY('Переформатированный ответ'!A147)))</f>
        <v/>
      </c>
      <c r="B163" s="0" t="str">
        <f aca="false">IF('Переформатированный ответ'!A147 = "","",HOUR('Переформатированный ответ'!A147))</f>
        <v/>
      </c>
    </row>
    <row r="164" customFormat="false" ht="15.75" hidden="false" customHeight="false" outlineLevel="0" collapsed="false">
      <c r="A164" s="0" t="str">
        <f aca="false">IF('Переформатированный ответ'!A148="","",DATE(2017,MONTH('Переформатированный ответ'!A148),DAY('Переформатированный ответ'!A148)))</f>
        <v/>
      </c>
      <c r="B164" s="0" t="str">
        <f aca="false">IF('Переформатированный ответ'!A148 = "","",HOUR('Переформатированный ответ'!A148))</f>
        <v/>
      </c>
    </row>
    <row r="165" customFormat="false" ht="15.75" hidden="false" customHeight="false" outlineLevel="0" collapsed="false">
      <c r="A165" s="0" t="str">
        <f aca="false">IF('Переформатированный ответ'!A149="","",DATE(2017,MONTH('Переформатированный ответ'!A149),DAY('Переформатированный ответ'!A149)))</f>
        <v/>
      </c>
      <c r="B165" s="0" t="str">
        <f aca="false">IF('Переформатированный ответ'!A149 = "","",HOUR('Переформатированный ответ'!A149))</f>
        <v/>
      </c>
    </row>
    <row r="166" customFormat="false" ht="15.75" hidden="false" customHeight="false" outlineLevel="0" collapsed="false">
      <c r="A166" s="0" t="str">
        <f aca="false">IF('Переформатированный ответ'!A150="","",DATE(2017,MONTH('Переформатированный ответ'!A150),DAY('Переформатированный ответ'!A150)))</f>
        <v/>
      </c>
      <c r="B166" s="0" t="str">
        <f aca="false">IF('Переформатированный ответ'!A150 = "","",HOUR('Переформатированный ответ'!A150))</f>
        <v/>
      </c>
    </row>
    <row r="167" customFormat="false" ht="15.75" hidden="false" customHeight="false" outlineLevel="0" collapsed="false">
      <c r="A167" s="0" t="str">
        <f aca="false">IF('Переформатированный ответ'!A151="","",DATE(2017,MONTH('Переформатированный ответ'!A151),DAY('Переформатированный ответ'!A151)))</f>
        <v/>
      </c>
      <c r="B167" s="0" t="str">
        <f aca="false">IF('Переформатированный ответ'!A151 = "","",HOUR('Переформатированный ответ'!A151))</f>
        <v/>
      </c>
    </row>
    <row r="168" customFormat="false" ht="15.75" hidden="false" customHeight="false" outlineLevel="0" collapsed="false">
      <c r="A168" s="0" t="str">
        <f aca="false">IF('Переформатированный ответ'!A152="","",DATE(2017,MONTH('Переформатированный ответ'!A152),DAY('Переформатированный ответ'!A152)))</f>
        <v/>
      </c>
      <c r="B168" s="0" t="str">
        <f aca="false">IF('Переформатированный ответ'!A152 = "","",HOUR('Переформатированный ответ'!A152))</f>
        <v/>
      </c>
    </row>
    <row r="169" customFormat="false" ht="15.75" hidden="false" customHeight="false" outlineLevel="0" collapsed="false">
      <c r="A169" s="0" t="str">
        <f aca="false">IF('Переформатированный ответ'!A153="","",DATE(2017,MONTH('Переформатированный ответ'!A153),DAY('Переформатированный ответ'!A153)))</f>
        <v/>
      </c>
      <c r="B169" s="0" t="str">
        <f aca="false">IF('Переформатированный ответ'!A153 = "","",HOUR('Переформатированный ответ'!A153))</f>
        <v/>
      </c>
    </row>
    <row r="170" customFormat="false" ht="15.75" hidden="false" customHeight="false" outlineLevel="0" collapsed="false">
      <c r="A170" s="0" t="str">
        <f aca="false">IF('Переформатированный ответ'!A154="","",DATE(2017,MONTH('Переформатированный ответ'!A154),DAY('Переформатированный ответ'!A154)))</f>
        <v/>
      </c>
      <c r="B170" s="0" t="str">
        <f aca="false">IF('Переформатированный ответ'!A154 = "","",HOUR('Переформатированный ответ'!A154))</f>
        <v/>
      </c>
    </row>
    <row r="171" customFormat="false" ht="15.75" hidden="false" customHeight="false" outlineLevel="0" collapsed="false">
      <c r="A171" s="0" t="str">
        <f aca="false">IF('Переформатированный ответ'!A155="","",DATE(2017,MONTH('Переформатированный ответ'!A155),DAY('Переформатированный ответ'!A155)))</f>
        <v/>
      </c>
      <c r="B171" s="0" t="str">
        <f aca="false">IF('Переформатированный ответ'!A155 = "","",HOUR('Переформатированный ответ'!A155))</f>
        <v/>
      </c>
    </row>
    <row r="172" customFormat="false" ht="15.75" hidden="false" customHeight="false" outlineLevel="0" collapsed="false">
      <c r="A172" s="0" t="str">
        <f aca="false">IF('Переформатированный ответ'!A156="","",DATE(2017,MONTH('Переформатированный ответ'!A156),DAY('Переформатированный ответ'!A156)))</f>
        <v/>
      </c>
      <c r="B172" s="0" t="str">
        <f aca="false">IF('Переформатированный ответ'!A156 = "","",HOUR('Переформатированный ответ'!A156))</f>
        <v/>
      </c>
    </row>
    <row r="173" customFormat="false" ht="15.75" hidden="false" customHeight="false" outlineLevel="0" collapsed="false">
      <c r="A173" s="0" t="str">
        <f aca="false">IF('Переформатированный ответ'!A157="","",DATE(2017,MONTH('Переформатированный ответ'!A157),DAY('Переформатированный ответ'!A157)))</f>
        <v/>
      </c>
      <c r="B173" s="0" t="str">
        <f aca="false">IF('Переформатированный ответ'!A157 = "","",HOUR('Переформатированный ответ'!A157))</f>
        <v/>
      </c>
    </row>
    <row r="174" customFormat="false" ht="15.75" hidden="false" customHeight="false" outlineLevel="0" collapsed="false">
      <c r="A174" s="0" t="str">
        <f aca="false">IF('Переформатированный ответ'!A158="","",DATE(2017,MONTH('Переформатированный ответ'!A158),DAY('Переформатированный ответ'!A158)))</f>
        <v/>
      </c>
      <c r="B174" s="0" t="str">
        <f aca="false">IF('Переформатированный ответ'!A158 = "","",HOUR('Переформатированный ответ'!A158))</f>
        <v/>
      </c>
    </row>
    <row r="175" customFormat="false" ht="15.75" hidden="false" customHeight="false" outlineLevel="0" collapsed="false">
      <c r="A175" s="0" t="str">
        <f aca="false">IF('Переформатированный ответ'!A159="","",DATE(2017,MONTH('Переформатированный ответ'!A159),DAY('Переформатированный ответ'!A159)))</f>
        <v/>
      </c>
      <c r="B175" s="0" t="str">
        <f aca="false">IF('Переформатированный ответ'!A159 = "","",HOUR('Переформатированный ответ'!A159))</f>
        <v/>
      </c>
    </row>
    <row r="176" customFormat="false" ht="15.75" hidden="false" customHeight="false" outlineLevel="0" collapsed="false">
      <c r="A176" s="0" t="str">
        <f aca="false">IF('Переформатированный ответ'!A160="","",DATE(2017,MONTH('Переформатированный ответ'!A160),DAY('Переформатированный ответ'!A160)))</f>
        <v/>
      </c>
      <c r="B176" s="0" t="str">
        <f aca="false">IF('Переформатированный ответ'!A160 = "","",HOUR('Переформатированный ответ'!A160))</f>
        <v/>
      </c>
    </row>
    <row r="177" customFormat="false" ht="15.75" hidden="false" customHeight="false" outlineLevel="0" collapsed="false">
      <c r="A177" s="0" t="str">
        <f aca="false">IF('Переформатированный ответ'!A161="","",DATE(2017,MONTH('Переформатированный ответ'!A161),DAY('Переформатированный ответ'!A161)))</f>
        <v/>
      </c>
      <c r="B177" s="0" t="str">
        <f aca="false">IF('Переформатированный ответ'!A161 = "","",HOUR('Переформатированный ответ'!A161))</f>
        <v/>
      </c>
    </row>
    <row r="178" customFormat="false" ht="15.75" hidden="false" customHeight="false" outlineLevel="0" collapsed="false">
      <c r="A178" s="0" t="str">
        <f aca="false">IF('Переформатированный ответ'!A162="","",DATE(2017,MONTH('Переформатированный ответ'!A162),DAY('Переформатированный ответ'!A162)))</f>
        <v/>
      </c>
      <c r="B178" s="0" t="str">
        <f aca="false">IF('Переформатированный ответ'!A162 = "","",HOUR('Переформатированный ответ'!A162))</f>
        <v/>
      </c>
    </row>
    <row r="179" customFormat="false" ht="15.75" hidden="false" customHeight="false" outlineLevel="0" collapsed="false">
      <c r="A179" s="0" t="str">
        <f aca="false">IF('Переформатированный ответ'!A163="","",DATE(2017,MONTH('Переформатированный ответ'!A163),DAY('Переформатированный ответ'!A163)))</f>
        <v/>
      </c>
      <c r="B179" s="0" t="str">
        <f aca="false">IF('Переформатированный ответ'!A163 = "","",HOUR('Переформатированный ответ'!A163))</f>
        <v/>
      </c>
    </row>
    <row r="180" customFormat="false" ht="15.75" hidden="false" customHeight="false" outlineLevel="0" collapsed="false">
      <c r="A180" s="0" t="str">
        <f aca="false">IF('Переформатированный ответ'!A164="","",DATE(2017,MONTH('Переформатированный ответ'!A164),DAY('Переформатированный ответ'!A164)))</f>
        <v/>
      </c>
      <c r="B180" s="0" t="str">
        <f aca="false">IF('Переформатированный ответ'!A164 = "","",HOUR('Переформатированный ответ'!A164))</f>
        <v/>
      </c>
    </row>
    <row r="181" customFormat="false" ht="15.75" hidden="false" customHeight="false" outlineLevel="0" collapsed="false">
      <c r="A181" s="0" t="str">
        <f aca="false">IF('Переформатированный ответ'!A165="","",DATE(2017,MONTH('Переформатированный ответ'!A165),DAY('Переформатированный ответ'!A165)))</f>
        <v/>
      </c>
      <c r="B181" s="0" t="str">
        <f aca="false">IF('Переформатированный ответ'!A165 = "","",HOUR('Переформатированный ответ'!A165))</f>
        <v/>
      </c>
    </row>
    <row r="182" customFormat="false" ht="15.75" hidden="false" customHeight="false" outlineLevel="0" collapsed="false">
      <c r="A182" s="0" t="str">
        <f aca="false">IF('Переформатированный ответ'!A166="","",DATE(2017,MONTH('Переформатированный ответ'!A166),DAY('Переформатированный ответ'!A166)))</f>
        <v/>
      </c>
      <c r="B182" s="0" t="str">
        <f aca="false">IF('Переформатированный ответ'!A166 = "","",HOUR('Переформатированный ответ'!A166))</f>
        <v/>
      </c>
    </row>
    <row r="183" customFormat="false" ht="15.75" hidden="false" customHeight="false" outlineLevel="0" collapsed="false">
      <c r="A183" s="0" t="str">
        <f aca="false">IF('Переформатированный ответ'!A167="","",DATE(2017,MONTH('Переформатированный ответ'!A167),DAY('Переформатированный ответ'!A167)))</f>
        <v/>
      </c>
      <c r="B183" s="0" t="str">
        <f aca="false">IF('Переформатированный ответ'!A167 = "","",HOUR('Переформатированный ответ'!A167))</f>
        <v/>
      </c>
    </row>
    <row r="184" customFormat="false" ht="15.75" hidden="false" customHeight="false" outlineLevel="0" collapsed="false">
      <c r="A184" s="0" t="str">
        <f aca="false">IF('Переформатированный ответ'!A168="","",DATE(2017,MONTH('Переформатированный ответ'!A168),DAY('Переформатированный ответ'!A168)))</f>
        <v/>
      </c>
      <c r="B184" s="0" t="str">
        <f aca="false">IF('Переформатированный ответ'!A168 = "","",HOUR('Переформатированный ответ'!A168))</f>
        <v/>
      </c>
    </row>
    <row r="185" customFormat="false" ht="15.75" hidden="false" customHeight="false" outlineLevel="0" collapsed="false">
      <c r="A185" s="0" t="str">
        <f aca="false">IF('Переформатированный ответ'!A169="","",DATE(2017,MONTH('Переформатированный ответ'!A169),DAY('Переформатированный ответ'!A169)))</f>
        <v/>
      </c>
      <c r="B185" s="0" t="str">
        <f aca="false">IF('Переформатированный ответ'!A169 = "","",HOUR('Переформатированный ответ'!A169))</f>
        <v/>
      </c>
    </row>
    <row r="186" customFormat="false" ht="15.75" hidden="false" customHeight="false" outlineLevel="0" collapsed="false">
      <c r="A186" s="0" t="str">
        <f aca="false">IF('Переформатированный ответ'!A170="","",DATE(2017,MONTH('Переформатированный ответ'!A170),DAY('Переформатированный ответ'!A170)))</f>
        <v/>
      </c>
      <c r="B186" s="0" t="str">
        <f aca="false">IF('Переформатированный ответ'!A170 = "","",HOUR('Переформатированный ответ'!A170))</f>
        <v/>
      </c>
    </row>
    <row r="187" customFormat="false" ht="15.75" hidden="false" customHeight="false" outlineLevel="0" collapsed="false">
      <c r="A187" s="0" t="str">
        <f aca="false">IF('Переформатированный ответ'!A171="","",DATE(2017,MONTH('Переформатированный ответ'!A171),DAY('Переформатированный ответ'!A171)))</f>
        <v/>
      </c>
      <c r="B187" s="0" t="str">
        <f aca="false">IF('Переформатированный ответ'!A171 = "","",HOUR('Переформатированный ответ'!A171))</f>
        <v/>
      </c>
    </row>
    <row r="188" customFormat="false" ht="15.75" hidden="false" customHeight="false" outlineLevel="0" collapsed="false">
      <c r="A188" s="0" t="str">
        <f aca="false">IF('Переформатированный ответ'!A172="","",DATE(2017,MONTH('Переформатированный ответ'!A172),DAY('Переформатированный ответ'!A172)))</f>
        <v/>
      </c>
      <c r="B188" s="0" t="str">
        <f aca="false">IF('Переформатированный ответ'!A172 = "","",HOUR('Переформатированный ответ'!A172))</f>
        <v/>
      </c>
    </row>
    <row r="189" customFormat="false" ht="15.75" hidden="false" customHeight="false" outlineLevel="0" collapsed="false">
      <c r="A189" s="0" t="str">
        <f aca="false">IF('Переформатированный ответ'!A173="","",DATE(2017,MONTH('Переформатированный ответ'!A173),DAY('Переформатированный ответ'!A173)))</f>
        <v/>
      </c>
      <c r="B189" s="0" t="str">
        <f aca="false">IF('Переформатированный ответ'!A173 = "","",HOUR('Переформатированный ответ'!A173))</f>
        <v/>
      </c>
    </row>
    <row r="190" customFormat="false" ht="15.75" hidden="false" customHeight="false" outlineLevel="0" collapsed="false">
      <c r="A190" s="0" t="str">
        <f aca="false">IF('Переформатированный ответ'!A174="","",DATE(2017,MONTH('Переформатированный ответ'!A174),DAY('Переформатированный ответ'!A174)))</f>
        <v/>
      </c>
      <c r="B190" s="0" t="str">
        <f aca="false">IF('Переформатированный ответ'!A174 = "","",HOUR('Переформатированный ответ'!A174))</f>
        <v/>
      </c>
    </row>
    <row r="191" customFormat="false" ht="15.75" hidden="false" customHeight="false" outlineLevel="0" collapsed="false">
      <c r="A191" s="0" t="str">
        <f aca="false">IF('Переформатированный ответ'!A175="","",DATE(2017,MONTH('Переформатированный ответ'!A175),DAY('Переформатированный ответ'!A175)))</f>
        <v/>
      </c>
      <c r="B191" s="0" t="str">
        <f aca="false">IF('Переформатированный ответ'!A175 = "","",HOUR('Переформатированный ответ'!A175))</f>
        <v/>
      </c>
    </row>
    <row r="192" customFormat="false" ht="15.75" hidden="false" customHeight="false" outlineLevel="0" collapsed="false">
      <c r="A192" s="0" t="str">
        <f aca="false">IF('Переформатированный ответ'!A176="","",DATE(2017,MONTH('Переформатированный ответ'!A176),DAY('Переформатированный ответ'!A176)))</f>
        <v/>
      </c>
      <c r="B192" s="0" t="str">
        <f aca="false">IF('Переформатированный ответ'!A176 = "","",HOUR('Переформатированный ответ'!A176))</f>
        <v/>
      </c>
    </row>
    <row r="193" customFormat="false" ht="15.75" hidden="false" customHeight="false" outlineLevel="0" collapsed="false">
      <c r="A193" s="0" t="str">
        <f aca="false">IF('Переформатированный ответ'!A177="","",DATE(2017,MONTH('Переформатированный ответ'!A177),DAY('Переформатированный ответ'!A177)))</f>
        <v/>
      </c>
      <c r="B193" s="0" t="str">
        <f aca="false">IF('Переформатированный ответ'!A177 = "","",HOUR('Переформатированный ответ'!A177))</f>
        <v/>
      </c>
    </row>
    <row r="194" customFormat="false" ht="15.75" hidden="false" customHeight="false" outlineLevel="0" collapsed="false">
      <c r="A194" s="0" t="str">
        <f aca="false">IF('Переформатированный ответ'!A178="","",DATE(2017,MONTH('Переформатированный ответ'!A178),DAY('Переформатированный ответ'!A178)))</f>
        <v/>
      </c>
      <c r="B194" s="0" t="str">
        <f aca="false">IF('Переформатированный ответ'!A178 = "","",HOUR('Переформатированный ответ'!A178))</f>
        <v/>
      </c>
    </row>
    <row r="195" customFormat="false" ht="15.75" hidden="false" customHeight="false" outlineLevel="0" collapsed="false">
      <c r="A195" s="0" t="str">
        <f aca="false">IF('Переформатированный ответ'!A179="","",DATE(2017,MONTH('Переформатированный ответ'!A179),DAY('Переформатированный ответ'!A179)))</f>
        <v/>
      </c>
      <c r="B195" s="0" t="str">
        <f aca="false">IF('Переформатированный ответ'!A179 = "","",HOUR('Переформатированный ответ'!A179))</f>
        <v/>
      </c>
    </row>
    <row r="196" customFormat="false" ht="15.75" hidden="false" customHeight="false" outlineLevel="0" collapsed="false">
      <c r="A196" s="0" t="str">
        <f aca="false">IF('Переформатированный ответ'!A180="","",DATE(2017,MONTH('Переформатированный ответ'!A180),DAY('Переформатированный ответ'!A180)))</f>
        <v/>
      </c>
      <c r="B196" s="0" t="str">
        <f aca="false">IF('Переформатированный ответ'!A180 = "","",HOUR('Переформатированный ответ'!A180))</f>
        <v/>
      </c>
    </row>
    <row r="197" customFormat="false" ht="15.75" hidden="false" customHeight="false" outlineLevel="0" collapsed="false">
      <c r="A197" s="0" t="str">
        <f aca="false">IF('Переформатированный ответ'!A181="","",DATE(2017,MONTH('Переформатированный ответ'!A181),DAY('Переформатированный ответ'!A181)))</f>
        <v/>
      </c>
      <c r="B197" s="0" t="str">
        <f aca="false">IF('Переформатированный ответ'!A181 = "","",HOUR('Переформатированный ответ'!A181))</f>
        <v/>
      </c>
    </row>
    <row r="198" customFormat="false" ht="15.75" hidden="false" customHeight="false" outlineLevel="0" collapsed="false">
      <c r="A198" s="0" t="str">
        <f aca="false">IF('Переформатированный ответ'!A182="","",DATE(2017,MONTH('Переформатированный ответ'!A182),DAY('Переформатированный ответ'!A182)))</f>
        <v/>
      </c>
      <c r="B198" s="0" t="str">
        <f aca="false">IF('Переформатированный ответ'!A182 = "","",HOUR('Переформатированный ответ'!A182))</f>
        <v/>
      </c>
    </row>
    <row r="199" customFormat="false" ht="15.75" hidden="false" customHeight="false" outlineLevel="0" collapsed="false">
      <c r="A199" s="0" t="str">
        <f aca="false">IF('Переформатированный ответ'!A183="","",DATE(2017,MONTH('Переформатированный ответ'!A183),DAY('Переформатированный ответ'!A183)))</f>
        <v/>
      </c>
      <c r="B199" s="0" t="str">
        <f aca="false">IF('Переформатированный ответ'!A183 = "","",HOUR('Переформатированный ответ'!A183))</f>
        <v/>
      </c>
    </row>
    <row r="200" customFormat="false" ht="15.75" hidden="false" customHeight="false" outlineLevel="0" collapsed="false">
      <c r="A200" s="0" t="str">
        <f aca="false">IF('Переформатированный ответ'!A184="","",DATE(2017,MONTH('Переформатированный ответ'!A184),DAY('Переформатированный ответ'!A184)))</f>
        <v/>
      </c>
      <c r="B200" s="0" t="str">
        <f aca="false">IF('Переформатированный ответ'!A184 = "","",HOUR('Переформатированный ответ'!A184))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6.71"/>
    <col collapsed="false" customWidth="true" hidden="false" outlineLevel="0" max="3" min="3" style="0" width="12.57"/>
    <col collapsed="false" customWidth="true" hidden="false" outlineLevel="0" max="4" min="4" style="0" width="12.29"/>
    <col collapsed="false" customWidth="true" hidden="false" outlineLevel="0" max="5" min="5" style="0" width="4.86"/>
    <col collapsed="false" customWidth="true" hidden="false" outlineLevel="0" max="6" min="6" style="0" width="18"/>
    <col collapsed="false" customWidth="true" hidden="false" outlineLevel="0" max="7" min="7" style="0" width="23.88"/>
    <col collapsed="false" customWidth="true" hidden="false" outlineLevel="0" max="8" min="8" style="0" width="31.14"/>
    <col collapsed="false" customWidth="true" hidden="false" outlineLevel="0" max="9" min="9" style="0" width="25.86"/>
    <col collapsed="false" customWidth="true" hidden="false" outlineLevel="0" max="10" min="10" style="0" width="2.99"/>
    <col collapsed="false" customWidth="true" hidden="false" outlineLevel="0" max="11" min="11" style="0" width="2.43"/>
    <col collapsed="false" customWidth="true" hidden="false" outlineLevel="0" max="12" min="12" style="0" width="5.7"/>
    <col collapsed="false" customWidth="true" hidden="false" outlineLevel="0" max="13" min="13" style="0" width="19.86"/>
  </cols>
  <sheetData>
    <row r="1" customFormat="false" ht="15.75" hidden="false" customHeight="false" outlineLevel="0" collapsed="false">
      <c r="A1" s="4" t="s">
        <v>47</v>
      </c>
      <c r="G1" s="4" t="s">
        <v>48</v>
      </c>
      <c r="I1" s="25" t="n">
        <f aca="true">TODAY()</f>
        <v>44431</v>
      </c>
      <c r="M1" s="4"/>
    </row>
    <row r="2" customFormat="false" ht="15.75" hidden="false" customHeight="false" outlineLevel="0" collapsed="false">
      <c r="A2" s="4" t="s">
        <v>49</v>
      </c>
      <c r="B2" s="28" t="n">
        <v>1</v>
      </c>
      <c r="C2" s="4" t="s">
        <v>50</v>
      </c>
      <c r="D2" s="4" t="s">
        <v>51</v>
      </c>
      <c r="E2" s="28" t="n">
        <v>1000</v>
      </c>
      <c r="F2" s="4" t="s">
        <v>52</v>
      </c>
      <c r="M2" s="4"/>
    </row>
    <row r="3" customFormat="false" ht="15.75" hidden="false" customHeight="false" outlineLevel="0" collapsed="false">
      <c r="A3" s="4" t="s">
        <v>53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15</v>
      </c>
      <c r="I3" s="0" t="s">
        <v>10</v>
      </c>
      <c r="J3" s="4" t="s">
        <v>11</v>
      </c>
      <c r="K3" s="4" t="s">
        <v>12</v>
      </c>
      <c r="L3" s="4" t="s">
        <v>54</v>
      </c>
      <c r="M3" s="4" t="s">
        <v>55</v>
      </c>
    </row>
    <row r="4" customFormat="false" ht="15.75" hidden="false" customHeight="false" outlineLevel="0" collapsed="false">
      <c r="A4" s="0" t="e">
        <f aca="true">IF(B4 = "","",TODAY()-DATE(2017,MONTH(B4),DAY(B4)))</f>
        <v>#VALUE!</v>
      </c>
      <c r="B4" s="0" t="str">
        <f aca="false">IFERROR(__xludf.dummyfunction("FILTER('Переформатированный ответ'!$A$2:$L$184,ARRAYFORMULA((DATE(2017,MONTH('Переформатированный ответ'!$A$2:$A$184),DAY('Переформатированный ответ'!$A$2:$A$184)) &lt; TODAY()-B2+1) + (DATE(2017,MONTH('Переформатированный ответ'!$A$2:$A$184),DAY('Переформат"&amp;"ированный ответ'!$A$2:$A$184)) &gt; TODAY()-E2-1) + (('Переформатированный ответ'!$K$2:$K$184 = 0)+('Переформатированный ответ'!$K$2:$K$184 = 1) &gt; 0) = 3))"),"#N/A")</f>
        <v>#N/A</v>
      </c>
      <c r="M4" s="4"/>
    </row>
    <row r="5" customFormat="false" ht="15.75" hidden="false" customHeight="false" outlineLevel="0" collapsed="false">
      <c r="A5" s="0" t="str">
        <f aca="true">IF(B5 = "","",TODAY()-DATE(2017,MONTH(B5),DAY(B5)))</f>
        <v/>
      </c>
      <c r="M5" s="4"/>
    </row>
    <row r="6" customFormat="false" ht="15.75" hidden="false" customHeight="false" outlineLevel="0" collapsed="false">
      <c r="A6" s="0" t="str">
        <f aca="true">IF(B6 = "","",TODAY()-DATE(2017,MONTH(B6),DAY(B6)))</f>
        <v/>
      </c>
      <c r="M6" s="4"/>
    </row>
    <row r="7" customFormat="false" ht="15.75" hidden="false" customHeight="false" outlineLevel="0" collapsed="false">
      <c r="A7" s="0" t="str">
        <f aca="true">IF(B7 = "","",TODAY()-DATE(2017,MONTH(B7),DAY(B7)))</f>
        <v/>
      </c>
      <c r="M7" s="4"/>
    </row>
    <row r="8" customFormat="false" ht="15.75" hidden="false" customHeight="false" outlineLevel="0" collapsed="false">
      <c r="A8" s="0" t="str">
        <f aca="true">IF(B8 = "","",TODAY()-DATE(2017,MONTH(B8),DAY(B8)))</f>
        <v/>
      </c>
      <c r="M8" s="4"/>
    </row>
    <row r="9" customFormat="false" ht="15.75" hidden="false" customHeight="false" outlineLevel="0" collapsed="false">
      <c r="A9" s="0" t="str">
        <f aca="true">IF(B9 = "","",TODAY()-DATE(2017,MONTH(B9),DAY(B9)))</f>
        <v/>
      </c>
      <c r="M9" s="4"/>
    </row>
    <row r="10" customFormat="false" ht="15.75" hidden="false" customHeight="false" outlineLevel="0" collapsed="false">
      <c r="A10" s="0" t="str">
        <f aca="true">IF(B10 = "","",TODAY()-DATE(2017,MONTH(B10),DAY(B10)))</f>
        <v/>
      </c>
      <c r="M10" s="4"/>
    </row>
    <row r="11" customFormat="false" ht="15.75" hidden="false" customHeight="false" outlineLevel="0" collapsed="false">
      <c r="A11" s="0" t="str">
        <f aca="true">IF(B11 = "","",TODAY()-DATE(2017,MONTH(B11),DAY(B11)))</f>
        <v/>
      </c>
      <c r="M11" s="4"/>
    </row>
    <row r="12" customFormat="false" ht="15.75" hidden="false" customHeight="false" outlineLevel="0" collapsed="false">
      <c r="A12" s="0" t="str">
        <f aca="true">IF(B12 = "","",TODAY()-DATE(2017,MONTH(B12),DAY(B12)))</f>
        <v/>
      </c>
      <c r="M12" s="4"/>
    </row>
    <row r="13" customFormat="false" ht="15.75" hidden="false" customHeight="false" outlineLevel="0" collapsed="false">
      <c r="A13" s="0" t="str">
        <f aca="true">IF(B13 = "","",TODAY()-DATE(2017,MONTH(B13),DAY(B13)))</f>
        <v/>
      </c>
      <c r="M13" s="4"/>
    </row>
    <row r="14" customFormat="false" ht="15.75" hidden="false" customHeight="false" outlineLevel="0" collapsed="false">
      <c r="A14" s="0" t="str">
        <f aca="true">IF(B14 = "","",TODAY()-DATE(2017,MONTH(B14),DAY(B14)))</f>
        <v/>
      </c>
      <c r="M14" s="4"/>
    </row>
    <row r="15" customFormat="false" ht="15.75" hidden="false" customHeight="false" outlineLevel="0" collapsed="false">
      <c r="A15" s="0" t="str">
        <f aca="true">IF(B15 = "","",TODAY()-DATE(2017,MONTH(B15),DAY(B15)))</f>
        <v/>
      </c>
      <c r="M15" s="4"/>
      <c r="N15" s="4"/>
      <c r="Q15" s="4" t="s">
        <v>56</v>
      </c>
    </row>
    <row r="16" customFormat="false" ht="15.75" hidden="false" customHeight="false" outlineLevel="0" collapsed="false">
      <c r="A16" s="0" t="str">
        <f aca="true">IF(B16 = "","",TODAY()-DATE(2017,MONTH(B16),DAY(B16)))</f>
        <v/>
      </c>
      <c r="M16" s="4"/>
    </row>
    <row r="17" customFormat="false" ht="15.75" hidden="false" customHeight="false" outlineLevel="0" collapsed="false">
      <c r="A17" s="0" t="str">
        <f aca="true">IF(B17 = "","",TODAY()-DATE(2017,MONTH(B17),DAY(B17)))</f>
        <v/>
      </c>
      <c r="M17" s="4"/>
    </row>
    <row r="18" customFormat="false" ht="15.75" hidden="false" customHeight="false" outlineLevel="0" collapsed="false">
      <c r="A18" s="0" t="str">
        <f aca="true">IF(B18 = "","",TODAY()-DATE(2017,MONTH(B18),DAY(B18)))</f>
        <v/>
      </c>
      <c r="M18" s="4"/>
    </row>
    <row r="19" customFormat="false" ht="15.75" hidden="false" customHeight="false" outlineLevel="0" collapsed="false">
      <c r="A19" s="0" t="str">
        <f aca="true">IF(B19 = "","",TODAY()-DATE(2017,MONTH(B19),DAY(B19)))</f>
        <v/>
      </c>
      <c r="M19" s="4"/>
    </row>
    <row r="20" customFormat="false" ht="15.75" hidden="false" customHeight="false" outlineLevel="0" collapsed="false">
      <c r="A20" s="0" t="str">
        <f aca="true">IF(B20 = "","",TODAY()-DATE(2017,MONTH(B20),DAY(B20)))</f>
        <v/>
      </c>
      <c r="H20" s="4"/>
      <c r="M20" s="4"/>
    </row>
    <row r="21" customFormat="false" ht="15.75" hidden="false" customHeight="false" outlineLevel="0" collapsed="false">
      <c r="A21" s="0" t="str">
        <f aca="true">IF(B21 = "","",TODAY()-DATE(2017,MONTH(B21),DAY(B21)))</f>
        <v/>
      </c>
      <c r="M21" s="4"/>
    </row>
    <row r="22" customFormat="false" ht="15.75" hidden="false" customHeight="false" outlineLevel="0" collapsed="false">
      <c r="A22" s="0" t="str">
        <f aca="true">IF(B22 = "","",TODAY()-DATE(2017,MONTH(B22),DAY(B22)))</f>
        <v/>
      </c>
      <c r="M22" s="4"/>
    </row>
    <row r="23" customFormat="false" ht="15.75" hidden="false" customHeight="false" outlineLevel="0" collapsed="false">
      <c r="A23" s="0" t="str">
        <f aca="true">IF(B23 = "","",TODAY()-DATE(2017,MONTH(B23),DAY(B23)))</f>
        <v/>
      </c>
      <c r="M23" s="4"/>
    </row>
    <row r="24" customFormat="false" ht="15.75" hidden="false" customHeight="false" outlineLevel="0" collapsed="false">
      <c r="A24" s="4"/>
      <c r="M24" s="4"/>
    </row>
    <row r="25" customFormat="false" ht="15.75" hidden="false" customHeight="false" outlineLevel="0" collapsed="false">
      <c r="A25" s="0" t="str">
        <f aca="true">IF(B25 = "","",TODAY()-DATE(2017,MONTH(B25),DAY(B25)))</f>
        <v/>
      </c>
      <c r="M25" s="4"/>
    </row>
    <row r="26" customFormat="false" ht="15.75" hidden="false" customHeight="false" outlineLevel="0" collapsed="false">
      <c r="A26" s="0" t="str">
        <f aca="true">IF(B26 = "","",TODAY()-DATE(2017,MONTH(B26),DAY(B26)))</f>
        <v/>
      </c>
      <c r="M26" s="4"/>
    </row>
    <row r="27" customFormat="false" ht="15.75" hidden="false" customHeight="false" outlineLevel="0" collapsed="false">
      <c r="A27" s="0" t="str">
        <f aca="true">IF(B27 = "","",TODAY()-DATE(2017,MONTH(B27),DAY(B27)))</f>
        <v/>
      </c>
      <c r="M27" s="4"/>
    </row>
    <row r="28" customFormat="false" ht="15.75" hidden="false" customHeight="false" outlineLevel="0" collapsed="false">
      <c r="A28" s="0" t="str">
        <f aca="true">IF(B28 = "","",TODAY()-DATE(2017,MONTH(B28),DAY(B28)))</f>
        <v/>
      </c>
      <c r="M28" s="4"/>
    </row>
    <row r="29" customFormat="false" ht="15.75" hidden="false" customHeight="false" outlineLevel="0" collapsed="false">
      <c r="A29" s="0" t="str">
        <f aca="true">IF(B29 = "","",TODAY()-DATE(2017,MONTH(B29),DAY(B29)))</f>
        <v/>
      </c>
      <c r="M29" s="4"/>
    </row>
    <row r="30" customFormat="false" ht="15.75" hidden="false" customHeight="false" outlineLevel="0" collapsed="false">
      <c r="A30" s="0" t="str">
        <f aca="true">IF(B30 = "","",TODAY()-DATE(2017,MONTH(B30),DAY(B30)))</f>
        <v/>
      </c>
      <c r="M30" s="4"/>
    </row>
    <row r="31" customFormat="false" ht="15.75" hidden="false" customHeight="false" outlineLevel="0" collapsed="false">
      <c r="A31" s="0" t="str">
        <f aca="true">IF(B31 = "","",TODAY()-DATE(2017,MONTH(B31),DAY(B31)))</f>
        <v/>
      </c>
      <c r="M31" s="4"/>
    </row>
    <row r="32" customFormat="false" ht="15.75" hidden="false" customHeight="false" outlineLevel="0" collapsed="false">
      <c r="A32" s="0" t="str">
        <f aca="true">IF(B32 = "","",TODAY()-DATE(2017,MONTH(B32),DAY(B32)))</f>
        <v/>
      </c>
      <c r="M32" s="4"/>
    </row>
    <row r="33" customFormat="false" ht="15.75" hidden="false" customHeight="false" outlineLevel="0" collapsed="false">
      <c r="A33" s="0" t="str">
        <f aca="true">IF(B33 = "","",TODAY()-DATE(2017,MONTH(B33),DAY(B33)))</f>
        <v/>
      </c>
      <c r="M33" s="4"/>
    </row>
    <row r="34" customFormat="false" ht="15.75" hidden="false" customHeight="false" outlineLevel="0" collapsed="false">
      <c r="A34" s="0" t="str">
        <f aca="true">IF(B34 = "","",TODAY()-DATE(2017,MONTH(B34),DAY(B34)))</f>
        <v/>
      </c>
      <c r="M34" s="4"/>
    </row>
    <row r="35" customFormat="false" ht="15.75" hidden="false" customHeight="false" outlineLevel="0" collapsed="false">
      <c r="A35" s="0" t="str">
        <f aca="true">IF(B35 = "","",TODAY()-DATE(2017,MONTH(B35),DAY(B35)))</f>
        <v/>
      </c>
      <c r="M35" s="4"/>
    </row>
    <row r="36" customFormat="false" ht="15.75" hidden="false" customHeight="false" outlineLevel="0" collapsed="false">
      <c r="A36" s="0" t="str">
        <f aca="true">IF(B36 = "","",TODAY()-DATE(2017,MONTH(B36),DAY(B36)))</f>
        <v/>
      </c>
      <c r="M36" s="4"/>
    </row>
    <row r="37" customFormat="false" ht="15.75" hidden="false" customHeight="false" outlineLevel="0" collapsed="false">
      <c r="A37" s="0" t="str">
        <f aca="true">IF(B37 = "","",TODAY()-DATE(2017,MONTH(B37),DAY(B37)))</f>
        <v/>
      </c>
      <c r="M37" s="4"/>
    </row>
    <row r="38" customFormat="false" ht="15.75" hidden="false" customHeight="false" outlineLevel="0" collapsed="false">
      <c r="A38" s="0" t="str">
        <f aca="true">IF(B38 = "","",TODAY()-DATE(2017,MONTH(B38),DAY(B38)))</f>
        <v/>
      </c>
      <c r="M38" s="4"/>
    </row>
    <row r="39" customFormat="false" ht="15.75" hidden="false" customHeight="false" outlineLevel="0" collapsed="false">
      <c r="A39" s="0" t="str">
        <f aca="true">IF(B39 = "","",TODAY()-DATE(2017,MONTH(B39),DAY(B39)))</f>
        <v/>
      </c>
      <c r="M39" s="4"/>
    </row>
    <row r="40" customFormat="false" ht="15.75" hidden="false" customHeight="false" outlineLevel="0" collapsed="false">
      <c r="A40" s="0" t="str">
        <f aca="true">IF(B40 = "","",TODAY()-DATE(2017,MONTH(B40),DAY(B40)))</f>
        <v/>
      </c>
      <c r="M40" s="4"/>
    </row>
    <row r="41" customFormat="false" ht="15.75" hidden="false" customHeight="false" outlineLevel="0" collapsed="false">
      <c r="A41" s="0" t="str">
        <f aca="true">IF(B41 = "","",TODAY()-DATE(2017,MONTH(B41),DAY(B41)))</f>
        <v/>
      </c>
      <c r="M41" s="4"/>
    </row>
    <row r="42" customFormat="false" ht="15.75" hidden="false" customHeight="false" outlineLevel="0" collapsed="false">
      <c r="A42" s="0" t="str">
        <f aca="true">IF(B42 = "","",TODAY()-DATE(2017,MONTH(B42),DAY(B42)))</f>
        <v/>
      </c>
      <c r="M42" s="4"/>
    </row>
    <row r="43" customFormat="false" ht="15.75" hidden="false" customHeight="false" outlineLevel="0" collapsed="false">
      <c r="A43" s="0" t="str">
        <f aca="true">IF(B43 = "","",TODAY()-DATE(2017,MONTH(B43),DAY(B43)))</f>
        <v/>
      </c>
      <c r="M43" s="4"/>
    </row>
    <row r="44" customFormat="false" ht="15.75" hidden="false" customHeight="false" outlineLevel="0" collapsed="false">
      <c r="A44" s="0" t="str">
        <f aca="true">IF(B44 = "","",TODAY()-DATE(2017,MONTH(B44),DAY(B44)))</f>
        <v/>
      </c>
      <c r="M44" s="4"/>
    </row>
    <row r="45" customFormat="false" ht="15.75" hidden="false" customHeight="false" outlineLevel="0" collapsed="false">
      <c r="A45" s="0" t="str">
        <f aca="true">IF(B45 = "","",TODAY()-DATE(2017,MONTH(B45),DAY(B45)))</f>
        <v/>
      </c>
      <c r="M45" s="4"/>
    </row>
    <row r="46" customFormat="false" ht="15.75" hidden="false" customHeight="false" outlineLevel="0" collapsed="false">
      <c r="A46" s="0" t="str">
        <f aca="true">IF(B46 = "","",TODAY()-DATE(2017,MONTH(B46),DAY(B46)))</f>
        <v/>
      </c>
      <c r="M46" s="4"/>
    </row>
    <row r="47" customFormat="false" ht="15.75" hidden="false" customHeight="false" outlineLevel="0" collapsed="false">
      <c r="A47" s="0" t="str">
        <f aca="true">IF(B47 = "","",TODAY()-DATE(2017,MONTH(B47),DAY(B47)))</f>
        <v/>
      </c>
      <c r="M47" s="4"/>
    </row>
    <row r="48" customFormat="false" ht="15.75" hidden="false" customHeight="false" outlineLevel="0" collapsed="false">
      <c r="A48" s="0" t="str">
        <f aca="true">IF(B48 = "","",TODAY()-DATE(2017,MONTH(B48),DAY(B48)))</f>
        <v/>
      </c>
      <c r="M48" s="4"/>
    </row>
    <row r="49" customFormat="false" ht="15.75" hidden="false" customHeight="false" outlineLevel="0" collapsed="false">
      <c r="A49" s="0" t="str">
        <f aca="true">IF(B49 = "","",TODAY()-DATE(2017,MONTH(B49),DAY(B49)))</f>
        <v/>
      </c>
      <c r="M49" s="4"/>
    </row>
    <row r="50" customFormat="false" ht="15.75" hidden="false" customHeight="false" outlineLevel="0" collapsed="false">
      <c r="A50" s="0" t="str">
        <f aca="true">IF(B50 = "","",TODAY()-DATE(2017,MONTH(B50),DAY(B50)))</f>
        <v/>
      </c>
      <c r="M50" s="4"/>
    </row>
    <row r="51" customFormat="false" ht="15.75" hidden="false" customHeight="false" outlineLevel="0" collapsed="false">
      <c r="A51" s="0" t="str">
        <f aca="true">IF(B51 = "","",TODAY()-DATE(2017,MONTH(B51),DAY(B51)))</f>
        <v/>
      </c>
      <c r="M51" s="4"/>
    </row>
    <row r="52" customFormat="false" ht="15.75" hidden="false" customHeight="false" outlineLevel="0" collapsed="false">
      <c r="A52" s="0" t="str">
        <f aca="true">IF(B52 = "","",TODAY()-DATE(2017,MONTH(B52),DAY(B52)))</f>
        <v/>
      </c>
      <c r="M52" s="4"/>
    </row>
    <row r="53" customFormat="false" ht="15.75" hidden="false" customHeight="false" outlineLevel="0" collapsed="false">
      <c r="A53" s="0" t="str">
        <f aca="true">IF(B53 = "","",TODAY()-DATE(2017,MONTH(B53),DAY(B53)))</f>
        <v/>
      </c>
      <c r="M53" s="4"/>
    </row>
    <row r="54" customFormat="false" ht="15.75" hidden="false" customHeight="false" outlineLevel="0" collapsed="false">
      <c r="A54" s="0" t="str">
        <f aca="true">IF(B54 = "","",TODAY()-DATE(2017,MONTH(B54),DAY(B54)))</f>
        <v/>
      </c>
      <c r="M54" s="4"/>
    </row>
    <row r="55" customFormat="false" ht="15.75" hidden="false" customHeight="false" outlineLevel="0" collapsed="false">
      <c r="A55" s="0" t="str">
        <f aca="true">IF(B55 = "","",TODAY()-DATE(2017,MONTH(B55),DAY(B55)))</f>
        <v/>
      </c>
      <c r="M55" s="4"/>
    </row>
    <row r="56" customFormat="false" ht="15.75" hidden="false" customHeight="false" outlineLevel="0" collapsed="false">
      <c r="A56" s="0" t="str">
        <f aca="true">IF(B56 = "","",TODAY()-DATE(2017,MONTH(B56),DAY(B56)))</f>
        <v/>
      </c>
      <c r="M56" s="4"/>
    </row>
    <row r="57" customFormat="false" ht="15.75" hidden="false" customHeight="false" outlineLevel="0" collapsed="false">
      <c r="A57" s="0" t="str">
        <f aca="true">IF(B57 = "","",TODAY()-DATE(2017,MONTH(B57),DAY(B57)))</f>
        <v/>
      </c>
      <c r="M57" s="4"/>
    </row>
    <row r="58" customFormat="false" ht="15.75" hidden="false" customHeight="false" outlineLevel="0" collapsed="false">
      <c r="A58" s="0" t="str">
        <f aca="true">IF(B58 = "","",TODAY()-DATE(2017,MONTH(B58),DAY(B58)))</f>
        <v/>
      </c>
      <c r="M58" s="4"/>
    </row>
    <row r="59" customFormat="false" ht="15.75" hidden="false" customHeight="false" outlineLevel="0" collapsed="false">
      <c r="A59" s="0" t="str">
        <f aca="true">IF(B59 = "","",TODAY()-DATE(2017,MONTH(B59),DAY(B59)))</f>
        <v/>
      </c>
      <c r="M59" s="4"/>
    </row>
    <row r="60" customFormat="false" ht="15.75" hidden="false" customHeight="false" outlineLevel="0" collapsed="false">
      <c r="A60" s="0" t="str">
        <f aca="true">IF(B60 = "","",TODAY()-DATE(2017,MONTH(B60),DAY(B60)))</f>
        <v/>
      </c>
      <c r="M60" s="4"/>
    </row>
    <row r="61" customFormat="false" ht="15.75" hidden="false" customHeight="false" outlineLevel="0" collapsed="false">
      <c r="A61" s="0" t="str">
        <f aca="true">IF(B61 = "","",TODAY()-DATE(2017,MONTH(B61),DAY(B61)))</f>
        <v/>
      </c>
      <c r="M61" s="4"/>
    </row>
    <row r="62" customFormat="false" ht="15.75" hidden="false" customHeight="false" outlineLevel="0" collapsed="false">
      <c r="A62" s="0" t="str">
        <f aca="true">IF(B62 = "","",TODAY()-DATE(2017,MONTH(B62),DAY(B62)))</f>
        <v/>
      </c>
      <c r="M62" s="4"/>
    </row>
    <row r="63" customFormat="false" ht="15.75" hidden="false" customHeight="false" outlineLevel="0" collapsed="false">
      <c r="A63" s="0" t="str">
        <f aca="true">IF(B63 = "","",TODAY()-DATE(2017,MONTH(B63),DAY(B63)))</f>
        <v/>
      </c>
      <c r="M63" s="4"/>
    </row>
    <row r="64" customFormat="false" ht="15.75" hidden="false" customHeight="false" outlineLevel="0" collapsed="false">
      <c r="A64" s="0" t="str">
        <f aca="true">IF(B64 = "","",TODAY()-DATE(2017,MONTH(B64),DAY(B64)))</f>
        <v/>
      </c>
      <c r="M64" s="4"/>
    </row>
    <row r="65" customFormat="false" ht="15.75" hidden="false" customHeight="false" outlineLevel="0" collapsed="false">
      <c r="A65" s="0" t="str">
        <f aca="true">IF(B65 = "","",TODAY()-DATE(2017,MONTH(B65),DAY(B65)))</f>
        <v/>
      </c>
      <c r="M65" s="4"/>
    </row>
    <row r="66" customFormat="false" ht="15.75" hidden="false" customHeight="false" outlineLevel="0" collapsed="false">
      <c r="A66" s="0" t="str">
        <f aca="true">IF(B66 = "","",TODAY()-DATE(2017,MONTH(B66),DAY(B66)))</f>
        <v/>
      </c>
      <c r="M66" s="4"/>
    </row>
    <row r="67" customFormat="false" ht="15.75" hidden="false" customHeight="false" outlineLevel="0" collapsed="false">
      <c r="A67" s="0" t="str">
        <f aca="true">IF(B67 = "","",TODAY()-DATE(2017,MONTH(B67),DAY(B67)))</f>
        <v/>
      </c>
      <c r="M67" s="4"/>
    </row>
    <row r="68" customFormat="false" ht="15.75" hidden="false" customHeight="false" outlineLevel="0" collapsed="false">
      <c r="A68" s="0" t="str">
        <f aca="true">IF(B68 = "","",TODAY()-DATE(2017,MONTH(B68),DAY(B68)))</f>
        <v/>
      </c>
      <c r="M68" s="4"/>
    </row>
    <row r="69" customFormat="false" ht="15.75" hidden="false" customHeight="false" outlineLevel="0" collapsed="false">
      <c r="A69" s="0" t="str">
        <f aca="true">IF(B69 = "","",TODAY()-DATE(2017,MONTH(B69),DAY(B69)))</f>
        <v/>
      </c>
      <c r="M69" s="4"/>
    </row>
    <row r="70" customFormat="false" ht="15.75" hidden="false" customHeight="false" outlineLevel="0" collapsed="false">
      <c r="A70" s="0" t="str">
        <f aca="true">IF(B70 = "","",TODAY()-DATE(2017,MONTH(B70),DAY(B70)))</f>
        <v/>
      </c>
      <c r="M70" s="4"/>
    </row>
    <row r="71" customFormat="false" ht="15.75" hidden="false" customHeight="false" outlineLevel="0" collapsed="false">
      <c r="A71" s="0" t="str">
        <f aca="true">IF(B71 = "","",TODAY()-DATE(2017,MONTH(B71),DAY(B71)))</f>
        <v/>
      </c>
      <c r="M71" s="4"/>
    </row>
    <row r="72" customFormat="false" ht="15.75" hidden="false" customHeight="false" outlineLevel="0" collapsed="false">
      <c r="A72" s="0" t="str">
        <f aca="true">IF(B72 = "","",TODAY()-DATE(2017,MONTH(B72),DAY(B72)))</f>
        <v/>
      </c>
      <c r="M72" s="4"/>
    </row>
    <row r="73" customFormat="false" ht="15.75" hidden="false" customHeight="false" outlineLevel="0" collapsed="false">
      <c r="A73" s="0" t="str">
        <f aca="true">IF(B73 = "","",TODAY()-DATE(2017,MONTH(B73),DAY(B73)))</f>
        <v/>
      </c>
      <c r="M73" s="4"/>
    </row>
    <row r="74" customFormat="false" ht="15.75" hidden="false" customHeight="false" outlineLevel="0" collapsed="false">
      <c r="A74" s="0" t="str">
        <f aca="true">IF(B74 = "","",TODAY()-DATE(2017,MONTH(B74),DAY(B74)))</f>
        <v/>
      </c>
      <c r="M74" s="4"/>
    </row>
    <row r="75" customFormat="false" ht="15.75" hidden="false" customHeight="false" outlineLevel="0" collapsed="false">
      <c r="A75" s="0" t="str">
        <f aca="true">IF(B75 = "","",TODAY()-DATE(2017,MONTH(B75),DAY(B75)))</f>
        <v/>
      </c>
      <c r="M75" s="4"/>
    </row>
    <row r="76" customFormat="false" ht="15.75" hidden="false" customHeight="false" outlineLevel="0" collapsed="false">
      <c r="A76" s="0" t="str">
        <f aca="true">IF(B76 = "","",TODAY()-DATE(2017,MONTH(B76),DAY(B76)))</f>
        <v/>
      </c>
      <c r="M76" s="4"/>
    </row>
    <row r="77" customFormat="false" ht="15.75" hidden="false" customHeight="false" outlineLevel="0" collapsed="false">
      <c r="A77" s="0" t="str">
        <f aca="true">IF(B77 = "","",TODAY()-DATE(2017,MONTH(B77),DAY(B77)))</f>
        <v/>
      </c>
      <c r="M77" s="4"/>
    </row>
    <row r="78" customFormat="false" ht="15.75" hidden="false" customHeight="false" outlineLevel="0" collapsed="false">
      <c r="A78" s="0" t="str">
        <f aca="true">IF(B78 = "","",TODAY()-DATE(2017,MONTH(B78),DAY(B78)))</f>
        <v/>
      </c>
      <c r="M78" s="4"/>
    </row>
    <row r="79" customFormat="false" ht="15.75" hidden="false" customHeight="false" outlineLevel="0" collapsed="false">
      <c r="A79" s="0" t="str">
        <f aca="true">IF(B79 = "","",TODAY()-DATE(2017,MONTH(B79),DAY(B79)))</f>
        <v/>
      </c>
      <c r="M79" s="4"/>
    </row>
    <row r="80" customFormat="false" ht="15.75" hidden="false" customHeight="false" outlineLevel="0" collapsed="false">
      <c r="A80" s="0" t="str">
        <f aca="true">IF(B80 = "","",TODAY()-DATE(2017,MONTH(B80),DAY(B80)))</f>
        <v/>
      </c>
      <c r="M80" s="4"/>
    </row>
    <row r="81" customFormat="false" ht="15.75" hidden="false" customHeight="false" outlineLevel="0" collapsed="false">
      <c r="A81" s="0" t="str">
        <f aca="true">IF(B81 = "","",TODAY()-DATE(2017,MONTH(B81),DAY(B81)))</f>
        <v/>
      </c>
      <c r="M81" s="4"/>
    </row>
    <row r="82" customFormat="false" ht="15.75" hidden="false" customHeight="false" outlineLevel="0" collapsed="false">
      <c r="A82" s="0" t="str">
        <f aca="true">IF(B82 = "","",TODAY()-DATE(2017,MONTH(B82),DAY(B82)))</f>
        <v/>
      </c>
      <c r="M82" s="4"/>
    </row>
    <row r="83" customFormat="false" ht="15.75" hidden="false" customHeight="false" outlineLevel="0" collapsed="false">
      <c r="A83" s="0" t="str">
        <f aca="true">IF(B83 = "","",TODAY()-DATE(2017,MONTH(B83),DAY(B83)))</f>
        <v/>
      </c>
      <c r="M83" s="4"/>
    </row>
    <row r="84" customFormat="false" ht="15.75" hidden="false" customHeight="false" outlineLevel="0" collapsed="false">
      <c r="A84" s="0" t="str">
        <f aca="true">IF(B84 = "","",TODAY()-DATE(2017,MONTH(B84),DAY(B84)))</f>
        <v/>
      </c>
      <c r="M84" s="4"/>
    </row>
    <row r="85" customFormat="false" ht="15.75" hidden="false" customHeight="false" outlineLevel="0" collapsed="false">
      <c r="A85" s="0" t="str">
        <f aca="true">IF(B85 = "","",TODAY()-DATE(2017,MONTH(B85),DAY(B85)))</f>
        <v/>
      </c>
      <c r="M85" s="4"/>
    </row>
    <row r="86" customFormat="false" ht="15.75" hidden="false" customHeight="false" outlineLevel="0" collapsed="false">
      <c r="A86" s="0" t="str">
        <f aca="true">IF(B86 = "","",TODAY()-DATE(2017,MONTH(B86),DAY(B86)))</f>
        <v/>
      </c>
      <c r="M86" s="4"/>
    </row>
    <row r="87" customFormat="false" ht="15.75" hidden="false" customHeight="false" outlineLevel="0" collapsed="false">
      <c r="A87" s="0" t="str">
        <f aca="true">IF(B87 = "","",TODAY()-DATE(2017,MONTH(B87),DAY(B87)))</f>
        <v/>
      </c>
      <c r="M87" s="4"/>
    </row>
    <row r="88" customFormat="false" ht="15.75" hidden="false" customHeight="false" outlineLevel="0" collapsed="false">
      <c r="A88" s="0" t="str">
        <f aca="true">IF(B88 = "","",TODAY()-DATE(2017,MONTH(B88),DAY(B88)))</f>
        <v/>
      </c>
      <c r="M88" s="4"/>
    </row>
    <row r="89" customFormat="false" ht="15.75" hidden="false" customHeight="false" outlineLevel="0" collapsed="false">
      <c r="A89" s="0" t="str">
        <f aca="true">IF(B89 = "","",TODAY()-DATE(2017,MONTH(B89),DAY(B89)))</f>
        <v/>
      </c>
      <c r="M89" s="4"/>
    </row>
    <row r="90" customFormat="false" ht="15.75" hidden="false" customHeight="false" outlineLevel="0" collapsed="false">
      <c r="A90" s="0" t="str">
        <f aca="true">IF(B90 = "","",TODAY()-DATE(2017,MONTH(B90),DAY(B90)))</f>
        <v/>
      </c>
      <c r="M90" s="4"/>
    </row>
    <row r="91" customFormat="false" ht="15.75" hidden="false" customHeight="false" outlineLevel="0" collapsed="false">
      <c r="A91" s="0" t="str">
        <f aca="true">IF(B91 = "","",TODAY()-DATE(2017,MONTH(B91),DAY(B91)))</f>
        <v/>
      </c>
      <c r="M91" s="4"/>
    </row>
    <row r="92" customFormat="false" ht="15.75" hidden="false" customHeight="false" outlineLevel="0" collapsed="false">
      <c r="A92" s="0" t="str">
        <f aca="true">IF(B92 = "","",TODAY()-DATE(2017,MONTH(B92),DAY(B92)))</f>
        <v/>
      </c>
      <c r="M92" s="4"/>
    </row>
    <row r="93" customFormat="false" ht="15.75" hidden="false" customHeight="false" outlineLevel="0" collapsed="false">
      <c r="A93" s="0" t="str">
        <f aca="true">IF(B93 = "","",TODAY()-DATE(2017,MONTH(B93),DAY(B93)))</f>
        <v/>
      </c>
      <c r="M93" s="4"/>
    </row>
    <row r="94" customFormat="false" ht="15.75" hidden="false" customHeight="false" outlineLevel="0" collapsed="false">
      <c r="A94" s="0" t="str">
        <f aca="true">IF(B94 = "","",TODAY()-DATE(2017,MONTH(B94),DAY(B94)))</f>
        <v/>
      </c>
      <c r="M94" s="4"/>
    </row>
    <row r="95" customFormat="false" ht="15.75" hidden="false" customHeight="false" outlineLevel="0" collapsed="false">
      <c r="A95" s="0" t="str">
        <f aca="true">IF(B95 = "","",TODAY()-DATE(2017,MONTH(B95),DAY(B95)))</f>
        <v/>
      </c>
      <c r="M95" s="4"/>
    </row>
    <row r="96" customFormat="false" ht="15.75" hidden="false" customHeight="false" outlineLevel="0" collapsed="false">
      <c r="A96" s="0" t="str">
        <f aca="true">IF(B96 = "","",TODAY()-DATE(2017,MONTH(B96),DAY(B96)))</f>
        <v/>
      </c>
      <c r="M96" s="4"/>
    </row>
    <row r="97" customFormat="false" ht="15.75" hidden="false" customHeight="false" outlineLevel="0" collapsed="false">
      <c r="A97" s="0" t="str">
        <f aca="true">IF(B97 = "","",TODAY()-DATE(2017,MONTH(B97),DAY(B97)))</f>
        <v/>
      </c>
      <c r="M97" s="4"/>
    </row>
    <row r="98" customFormat="false" ht="15.75" hidden="false" customHeight="false" outlineLevel="0" collapsed="false">
      <c r="A98" s="0" t="str">
        <f aca="true">IF(B98 = "","",TODAY()-DATE(2017,MONTH(B98),DAY(B98)))</f>
        <v/>
      </c>
      <c r="M98" s="4"/>
    </row>
    <row r="99" customFormat="false" ht="15.75" hidden="false" customHeight="false" outlineLevel="0" collapsed="false">
      <c r="A99" s="0" t="str">
        <f aca="true">IF(B99 = "","",TODAY()-DATE(2017,MONTH(B99),DAY(B99)))</f>
        <v/>
      </c>
      <c r="M99" s="4"/>
    </row>
    <row r="100" customFormat="false" ht="15.75" hidden="false" customHeight="false" outlineLevel="0" collapsed="false">
      <c r="A100" s="0" t="str">
        <f aca="true">IF(B100 = "","",TODAY()-DATE(2017,MONTH(B100),DAY(B100)))</f>
        <v/>
      </c>
      <c r="M100" s="4"/>
    </row>
    <row r="101" customFormat="false" ht="15.75" hidden="false" customHeight="false" outlineLevel="0" collapsed="false">
      <c r="A101" s="0" t="str">
        <f aca="true">IF(B101 = "","",TODAY()-DATE(2017,MONTH(B101),DAY(B101)))</f>
        <v/>
      </c>
      <c r="M101" s="4"/>
    </row>
    <row r="102" customFormat="false" ht="15.75" hidden="false" customHeight="false" outlineLevel="0" collapsed="false">
      <c r="A102" s="0" t="str">
        <f aca="true">IF(B102 = "","",TODAY()-DATE(2017,MONTH(B102),DAY(B102)))</f>
        <v/>
      </c>
      <c r="M102" s="4"/>
    </row>
    <row r="103" customFormat="false" ht="15.75" hidden="false" customHeight="false" outlineLevel="0" collapsed="false">
      <c r="A103" s="0" t="str">
        <f aca="true">IF(B103 = "","",TODAY()-DATE(2017,MONTH(B103),DAY(B103)))</f>
        <v/>
      </c>
      <c r="M103" s="4"/>
    </row>
    <row r="104" customFormat="false" ht="15.75" hidden="false" customHeight="false" outlineLevel="0" collapsed="false">
      <c r="A104" s="0" t="str">
        <f aca="true">IF(B104 = "","",TODAY()-DATE(2017,MONTH(B104),DAY(B104)))</f>
        <v/>
      </c>
      <c r="M104" s="4"/>
    </row>
    <row r="105" customFormat="false" ht="15.75" hidden="false" customHeight="false" outlineLevel="0" collapsed="false">
      <c r="A105" s="0" t="str">
        <f aca="true">IF(B105 = "","",TODAY()-DATE(2017,MONTH(B105),DAY(B105)))</f>
        <v/>
      </c>
      <c r="M105" s="4"/>
    </row>
    <row r="106" customFormat="false" ht="15.75" hidden="false" customHeight="false" outlineLevel="0" collapsed="false">
      <c r="A106" s="0" t="str">
        <f aca="true">IF(B106 = "","",TODAY()-DATE(2017,MONTH(B106),DAY(B106)))</f>
        <v/>
      </c>
      <c r="M106" s="4"/>
    </row>
    <row r="107" customFormat="false" ht="15.75" hidden="false" customHeight="false" outlineLevel="0" collapsed="false">
      <c r="A107" s="0" t="str">
        <f aca="true">IF(B107 = "","",TODAY()-DATE(2017,MONTH(B107),DAY(B107)))</f>
        <v/>
      </c>
      <c r="M107" s="4"/>
    </row>
    <row r="108" customFormat="false" ht="15.75" hidden="false" customHeight="false" outlineLevel="0" collapsed="false">
      <c r="A108" s="0" t="str">
        <f aca="true">IF(B108 = "","",TODAY()-DATE(2017,MONTH(B108),DAY(B108)))</f>
        <v/>
      </c>
      <c r="M108" s="4"/>
    </row>
    <row r="109" customFormat="false" ht="15.75" hidden="false" customHeight="false" outlineLevel="0" collapsed="false">
      <c r="A109" s="0" t="str">
        <f aca="true">IF(B109 = "","",TODAY()-DATE(2017,MONTH(B109),DAY(B109)))</f>
        <v/>
      </c>
      <c r="M109" s="4"/>
    </row>
    <row r="110" customFormat="false" ht="15.75" hidden="false" customHeight="false" outlineLevel="0" collapsed="false">
      <c r="A110" s="0" t="str">
        <f aca="true">IF(B110 = "","",TODAY()-DATE(2017,MONTH(B110),DAY(B110)))</f>
        <v/>
      </c>
      <c r="M110" s="4"/>
    </row>
    <row r="111" customFormat="false" ht="15.75" hidden="false" customHeight="false" outlineLevel="0" collapsed="false">
      <c r="A111" s="0" t="str">
        <f aca="true">IF(B111 = "","",TODAY()-DATE(2017,MONTH(B111),DAY(B111)))</f>
        <v/>
      </c>
      <c r="M111" s="4"/>
    </row>
    <row r="112" customFormat="false" ht="15.75" hidden="false" customHeight="false" outlineLevel="0" collapsed="false">
      <c r="A112" s="0" t="str">
        <f aca="true">IF(B112 = "","",TODAY()-DATE(2017,MONTH(B112),DAY(B112)))</f>
        <v/>
      </c>
      <c r="M112" s="4"/>
    </row>
    <row r="113" customFormat="false" ht="15.75" hidden="false" customHeight="false" outlineLevel="0" collapsed="false">
      <c r="A113" s="0" t="str">
        <f aca="true">IF(B113 = "","",TODAY()-DATE(2017,MONTH(B113),DAY(B113)))</f>
        <v/>
      </c>
      <c r="M113" s="4"/>
    </row>
    <row r="114" customFormat="false" ht="15.75" hidden="false" customHeight="false" outlineLevel="0" collapsed="false">
      <c r="A114" s="0" t="str">
        <f aca="true">IF(B114 = "","",TODAY()-DATE(2017,MONTH(B114),DAY(B114)))</f>
        <v/>
      </c>
      <c r="M114" s="4"/>
    </row>
    <row r="115" customFormat="false" ht="15.75" hidden="false" customHeight="false" outlineLevel="0" collapsed="false">
      <c r="A115" s="0" t="str">
        <f aca="true">IF(B115 = "","",TODAY()-DATE(2017,MONTH(B115),DAY(B115)))</f>
        <v/>
      </c>
      <c r="M115" s="4"/>
    </row>
    <row r="116" customFormat="false" ht="15.75" hidden="false" customHeight="false" outlineLevel="0" collapsed="false">
      <c r="A116" s="0" t="str">
        <f aca="true">IF(B116 = "","",TODAY()-DATE(2017,MONTH(B116),DAY(B116)))</f>
        <v/>
      </c>
      <c r="M116" s="4"/>
    </row>
    <row r="117" customFormat="false" ht="15.75" hidden="false" customHeight="false" outlineLevel="0" collapsed="false">
      <c r="A117" s="0" t="str">
        <f aca="true">IF(B117 = "","",TODAY()-DATE(2017,MONTH(B117),DAY(B117)))</f>
        <v/>
      </c>
      <c r="M117" s="4"/>
    </row>
    <row r="118" customFormat="false" ht="15.75" hidden="false" customHeight="false" outlineLevel="0" collapsed="false">
      <c r="A118" s="0" t="str">
        <f aca="true">IF(B118 = "","",TODAY()-DATE(2017,MONTH(B118),DAY(B118)))</f>
        <v/>
      </c>
      <c r="M118" s="4"/>
    </row>
    <row r="119" customFormat="false" ht="15.75" hidden="false" customHeight="false" outlineLevel="0" collapsed="false">
      <c r="A119" s="0" t="str">
        <f aca="true">IF(B119 = "","",TODAY()-DATE(2017,MONTH(B119),DAY(B119)))</f>
        <v/>
      </c>
      <c r="M119" s="4"/>
    </row>
    <row r="120" customFormat="false" ht="15.75" hidden="false" customHeight="false" outlineLevel="0" collapsed="false">
      <c r="A120" s="0" t="str">
        <f aca="true">IF(B120 = "","",TODAY()-DATE(2017,MONTH(B120),DAY(B120)))</f>
        <v/>
      </c>
      <c r="M120" s="4"/>
    </row>
    <row r="121" customFormat="false" ht="15.75" hidden="false" customHeight="false" outlineLevel="0" collapsed="false">
      <c r="A121" s="0" t="str">
        <f aca="true">IF(B121 = "","",TODAY()-DATE(2017,MONTH(B121),DAY(B121)))</f>
        <v/>
      </c>
      <c r="M121" s="4"/>
    </row>
    <row r="122" customFormat="false" ht="15.75" hidden="false" customHeight="false" outlineLevel="0" collapsed="false">
      <c r="A122" s="0" t="str">
        <f aca="true">IF(B122 = "","",TODAY()-DATE(2017,MONTH(B122),DAY(B122)))</f>
        <v/>
      </c>
      <c r="M122" s="4"/>
    </row>
    <row r="123" customFormat="false" ht="15.75" hidden="false" customHeight="false" outlineLevel="0" collapsed="false">
      <c r="A123" s="0" t="str">
        <f aca="true">IF(B123 = "","",TODAY()-DATE(2017,MONTH(B123),DAY(B123)))</f>
        <v/>
      </c>
      <c r="M123" s="4"/>
    </row>
    <row r="124" customFormat="false" ht="15.75" hidden="false" customHeight="false" outlineLevel="0" collapsed="false">
      <c r="A124" s="0" t="str">
        <f aca="true">IF(B124 = "","",TODAY()-DATE(2017,MONTH(B124),DAY(B124)))</f>
        <v/>
      </c>
      <c r="M124" s="4"/>
    </row>
    <row r="125" customFormat="false" ht="15.75" hidden="false" customHeight="false" outlineLevel="0" collapsed="false">
      <c r="A125" s="0" t="str">
        <f aca="true">IF(B125 = "","",TODAY()-DATE(2017,MONTH(B125),DAY(B125)))</f>
        <v/>
      </c>
      <c r="M125" s="4"/>
    </row>
    <row r="126" customFormat="false" ht="15.75" hidden="false" customHeight="false" outlineLevel="0" collapsed="false">
      <c r="A126" s="0" t="str">
        <f aca="true">IF(B126 = "","",TODAY()-DATE(2017,MONTH(B126),DAY(B126)))</f>
        <v/>
      </c>
      <c r="M126" s="4"/>
    </row>
    <row r="127" customFormat="false" ht="15.75" hidden="false" customHeight="false" outlineLevel="0" collapsed="false">
      <c r="A127" s="0" t="str">
        <f aca="true">IF(B127 = "","",TODAY()-DATE(2017,MONTH(B127),DAY(B127)))</f>
        <v/>
      </c>
      <c r="M127" s="4"/>
    </row>
    <row r="128" customFormat="false" ht="15.75" hidden="false" customHeight="false" outlineLevel="0" collapsed="false">
      <c r="A128" s="0" t="str">
        <f aca="true">IF(B128 = "","",TODAY()-DATE(2017,MONTH(B128),DAY(B128)))</f>
        <v/>
      </c>
      <c r="M128" s="4"/>
    </row>
    <row r="129" customFormat="false" ht="15.75" hidden="false" customHeight="false" outlineLevel="0" collapsed="false">
      <c r="A129" s="0" t="str">
        <f aca="true">IF(B129 = "","",TODAY()-DATE(2017,MONTH(B129),DAY(B129)))</f>
        <v/>
      </c>
      <c r="M129" s="4"/>
    </row>
    <row r="130" customFormat="false" ht="15.75" hidden="false" customHeight="false" outlineLevel="0" collapsed="false">
      <c r="A130" s="0" t="str">
        <f aca="true">IF(B130 = "","",TODAY()-DATE(2017,MONTH(B130),DAY(B130)))</f>
        <v/>
      </c>
      <c r="M130" s="4"/>
    </row>
    <row r="131" customFormat="false" ht="15.75" hidden="false" customHeight="false" outlineLevel="0" collapsed="false">
      <c r="A131" s="0" t="str">
        <f aca="true">IF(B131 = "","",TODAY()-DATE(2017,MONTH(B131),DAY(B131)))</f>
        <v/>
      </c>
      <c r="M131" s="4"/>
    </row>
    <row r="132" customFormat="false" ht="15.75" hidden="false" customHeight="false" outlineLevel="0" collapsed="false">
      <c r="A132" s="0" t="str">
        <f aca="true">IF(B132 = "","",TODAY()-DATE(2017,MONTH(B132),DAY(B132)))</f>
        <v/>
      </c>
      <c r="M132" s="4"/>
    </row>
    <row r="133" customFormat="false" ht="15.75" hidden="false" customHeight="false" outlineLevel="0" collapsed="false">
      <c r="A133" s="0" t="str">
        <f aca="true">IF(B133 = "","",TODAY()-DATE(2017,MONTH(B133),DAY(B133)))</f>
        <v/>
      </c>
      <c r="M133" s="4"/>
    </row>
    <row r="134" customFormat="false" ht="15.75" hidden="false" customHeight="false" outlineLevel="0" collapsed="false">
      <c r="A134" s="0" t="str">
        <f aca="true">IF(B134 = "","",TODAY()-DATE(2017,MONTH(B134),DAY(B134)))</f>
        <v/>
      </c>
      <c r="M134" s="4"/>
    </row>
    <row r="135" customFormat="false" ht="15.75" hidden="false" customHeight="false" outlineLevel="0" collapsed="false">
      <c r="A135" s="0" t="str">
        <f aca="true">IF(B135 = "","",TODAY()-DATE(2017,MONTH(B135),DAY(B135)))</f>
        <v/>
      </c>
      <c r="M135" s="4"/>
    </row>
    <row r="136" customFormat="false" ht="15.75" hidden="false" customHeight="false" outlineLevel="0" collapsed="false">
      <c r="A136" s="0" t="str">
        <f aca="true">IF(B136 = "","",TODAY()-DATE(2017,MONTH(B136),DAY(B136)))</f>
        <v/>
      </c>
      <c r="M136" s="4"/>
    </row>
    <row r="137" customFormat="false" ht="15.75" hidden="false" customHeight="false" outlineLevel="0" collapsed="false">
      <c r="A137" s="0" t="str">
        <f aca="true">IF(B137 = "","",TODAY()-DATE(2017,MONTH(B137),DAY(B137)))</f>
        <v/>
      </c>
      <c r="M137" s="4"/>
    </row>
    <row r="138" customFormat="false" ht="15.75" hidden="false" customHeight="false" outlineLevel="0" collapsed="false">
      <c r="A138" s="0" t="str">
        <f aca="true">IF(B138 = "","",TODAY()-DATE(2017,MONTH(B138),DAY(B138)))</f>
        <v/>
      </c>
      <c r="M138" s="4"/>
    </row>
    <row r="139" customFormat="false" ht="15.75" hidden="false" customHeight="false" outlineLevel="0" collapsed="false">
      <c r="A139" s="0" t="str">
        <f aca="true">IF(B139 = "","",TODAY()-DATE(2017,MONTH(B139),DAY(B139)))</f>
        <v/>
      </c>
      <c r="M139" s="4"/>
    </row>
    <row r="140" customFormat="false" ht="15.75" hidden="false" customHeight="false" outlineLevel="0" collapsed="false">
      <c r="A140" s="0" t="str">
        <f aca="true">IF(B140 = "","",TODAY()-DATE(2017,MONTH(B140),DAY(B140)))</f>
        <v/>
      </c>
      <c r="M140" s="4"/>
    </row>
    <row r="141" customFormat="false" ht="15.75" hidden="false" customHeight="false" outlineLevel="0" collapsed="false">
      <c r="A141" s="0" t="str">
        <f aca="true">IF(B141 = "","",TODAY()-DATE(2017,MONTH(B141),DAY(B141)))</f>
        <v/>
      </c>
      <c r="M141" s="4"/>
    </row>
    <row r="142" customFormat="false" ht="15.75" hidden="false" customHeight="false" outlineLevel="0" collapsed="false">
      <c r="A142" s="0" t="str">
        <f aca="true">IF(B142 = "","",TODAY()-DATE(2017,MONTH(B142),DAY(B142)))</f>
        <v/>
      </c>
      <c r="M142" s="4"/>
    </row>
    <row r="143" customFormat="false" ht="15.75" hidden="false" customHeight="false" outlineLevel="0" collapsed="false">
      <c r="A143" s="0" t="str">
        <f aca="true">IF(B143 = "","",TODAY()-DATE(2017,MONTH(B143),DAY(B143)))</f>
        <v/>
      </c>
      <c r="M143" s="4"/>
    </row>
    <row r="144" customFormat="false" ht="15.75" hidden="false" customHeight="false" outlineLevel="0" collapsed="false">
      <c r="A144" s="0" t="str">
        <f aca="true">IF(B144 = "","",TODAY()-DATE(2017,MONTH(B144),DAY(B144)))</f>
        <v/>
      </c>
      <c r="M144" s="4"/>
    </row>
    <row r="145" customFormat="false" ht="15.75" hidden="false" customHeight="false" outlineLevel="0" collapsed="false">
      <c r="A145" s="0" t="str">
        <f aca="true">IF(B145 = "","",TODAY()-DATE(2017,MONTH(B145),DAY(B145)))</f>
        <v/>
      </c>
      <c r="M145" s="4"/>
    </row>
    <row r="146" customFormat="false" ht="15.75" hidden="false" customHeight="false" outlineLevel="0" collapsed="false">
      <c r="A146" s="0" t="str">
        <f aca="true">IF(B146 = "","",TODAY()-DATE(2017,MONTH(B146),DAY(B146)))</f>
        <v/>
      </c>
      <c r="M146" s="4"/>
    </row>
    <row r="147" customFormat="false" ht="15.75" hidden="false" customHeight="false" outlineLevel="0" collapsed="false">
      <c r="A147" s="0" t="str">
        <f aca="true">IF(B147 = "","",TODAY()-DATE(2017,MONTH(B147),DAY(B147)))</f>
        <v/>
      </c>
      <c r="M147" s="4"/>
    </row>
    <row r="148" customFormat="false" ht="15.75" hidden="false" customHeight="false" outlineLevel="0" collapsed="false">
      <c r="A148" s="0" t="str">
        <f aca="true">IF(B148 = "","",TODAY()-DATE(2017,MONTH(B148),DAY(B148)))</f>
        <v/>
      </c>
      <c r="M148" s="4"/>
    </row>
    <row r="149" customFormat="false" ht="15.75" hidden="false" customHeight="false" outlineLevel="0" collapsed="false">
      <c r="A149" s="0" t="str">
        <f aca="true">IF(B149 = "","",TODAY()-DATE(2017,MONTH(B149),DAY(B149)))</f>
        <v/>
      </c>
      <c r="M149" s="4"/>
    </row>
    <row r="150" customFormat="false" ht="15.75" hidden="false" customHeight="false" outlineLevel="0" collapsed="false">
      <c r="A150" s="0" t="str">
        <f aca="true">IF(B150 = "","",TODAY()-DATE(2017,MONTH(B150),DAY(B150)))</f>
        <v/>
      </c>
      <c r="M150" s="4"/>
    </row>
    <row r="151" customFormat="false" ht="15.75" hidden="false" customHeight="false" outlineLevel="0" collapsed="false">
      <c r="A151" s="0" t="str">
        <f aca="true">IF(B151 = "","",TODAY()-DATE(2017,MONTH(B151),DAY(B151)))</f>
        <v/>
      </c>
      <c r="M151" s="4"/>
    </row>
    <row r="152" customFormat="false" ht="15.75" hidden="false" customHeight="false" outlineLevel="0" collapsed="false">
      <c r="A152" s="0" t="str">
        <f aca="true">IF(B152 = "","",TODAY()-DATE(2017,MONTH(B152),DAY(B152)))</f>
        <v/>
      </c>
      <c r="M152" s="4"/>
    </row>
    <row r="153" customFormat="false" ht="15.75" hidden="false" customHeight="false" outlineLevel="0" collapsed="false">
      <c r="A153" s="0" t="str">
        <f aca="true">IF(B153 = "","",TODAY()-DATE(2017,MONTH(B153),DAY(B153)))</f>
        <v/>
      </c>
      <c r="M153" s="4"/>
    </row>
    <row r="154" customFormat="false" ht="15.75" hidden="false" customHeight="false" outlineLevel="0" collapsed="false">
      <c r="A154" s="0" t="str">
        <f aca="true">IF(B154 = "","",TODAY()-DATE(2017,MONTH(B154),DAY(B154)))</f>
        <v/>
      </c>
      <c r="M154" s="4"/>
    </row>
    <row r="155" customFormat="false" ht="15.75" hidden="false" customHeight="false" outlineLevel="0" collapsed="false">
      <c r="A155" s="0" t="str">
        <f aca="true">IF(B155 = "","",TODAY()-DATE(2017,MONTH(B155),DAY(B155)))</f>
        <v/>
      </c>
      <c r="M155" s="4"/>
    </row>
    <row r="156" customFormat="false" ht="15.75" hidden="false" customHeight="false" outlineLevel="0" collapsed="false">
      <c r="A156" s="0" t="str">
        <f aca="true">IF(B156 = "","",TODAY()-DATE(2017,MONTH(B156),DAY(B156)))</f>
        <v/>
      </c>
      <c r="M156" s="4"/>
    </row>
    <row r="157" customFormat="false" ht="15.75" hidden="false" customHeight="false" outlineLevel="0" collapsed="false">
      <c r="A157" s="0" t="str">
        <f aca="true">IF(B157 = "","",TODAY()-DATE(2017,MONTH(B157),DAY(B157)))</f>
        <v/>
      </c>
      <c r="M157" s="4"/>
    </row>
    <row r="158" customFormat="false" ht="15.75" hidden="false" customHeight="false" outlineLevel="0" collapsed="false">
      <c r="A158" s="0" t="str">
        <f aca="true">IF(B158 = "","",TODAY()-DATE(2017,MONTH(B158),DAY(B158)))</f>
        <v/>
      </c>
      <c r="M158" s="4"/>
    </row>
    <row r="159" customFormat="false" ht="15.75" hidden="false" customHeight="false" outlineLevel="0" collapsed="false">
      <c r="A159" s="0" t="str">
        <f aca="true">IF(B159 = "","",TODAY()-DATE(2017,MONTH(B159),DAY(B159)))</f>
        <v/>
      </c>
      <c r="M159" s="4"/>
    </row>
    <row r="160" customFormat="false" ht="15.75" hidden="false" customHeight="false" outlineLevel="0" collapsed="false">
      <c r="A160" s="0" t="str">
        <f aca="true">IF(B160 = "","",TODAY()-DATE(2017,MONTH(B160),DAY(B160)))</f>
        <v/>
      </c>
      <c r="M160" s="4"/>
    </row>
    <row r="161" customFormat="false" ht="15.75" hidden="false" customHeight="false" outlineLevel="0" collapsed="false">
      <c r="A161" s="0" t="str">
        <f aca="true">IF(B161 = "","",TODAY()-DATE(2017,MONTH(B161),DAY(B161)))</f>
        <v/>
      </c>
      <c r="M161" s="4"/>
    </row>
    <row r="162" customFormat="false" ht="15.75" hidden="false" customHeight="false" outlineLevel="0" collapsed="false">
      <c r="A162" s="0" t="str">
        <f aca="true">IF(B162 = "","",TODAY()-DATE(2017,MONTH(B162),DAY(B162)))</f>
        <v/>
      </c>
      <c r="M162" s="4"/>
    </row>
    <row r="163" customFormat="false" ht="15.75" hidden="false" customHeight="false" outlineLevel="0" collapsed="false">
      <c r="A163" s="0" t="str">
        <f aca="true">IF(B163 = "","",TODAY()-DATE(2017,MONTH(B163),DAY(B163)))</f>
        <v/>
      </c>
      <c r="M163" s="4"/>
    </row>
    <row r="164" customFormat="false" ht="15.75" hidden="false" customHeight="false" outlineLevel="0" collapsed="false">
      <c r="A164" s="0" t="str">
        <f aca="true">IF(B164 = "","",TODAY()-DATE(2017,MONTH(B164),DAY(B164)))</f>
        <v/>
      </c>
      <c r="M164" s="4"/>
    </row>
    <row r="165" customFormat="false" ht="15.75" hidden="false" customHeight="false" outlineLevel="0" collapsed="false">
      <c r="A165" s="0" t="str">
        <f aca="true">IF(B165 = "","",TODAY()-DATE(2017,MONTH(B165),DAY(B165)))</f>
        <v/>
      </c>
      <c r="M165" s="4"/>
    </row>
    <row r="166" customFormat="false" ht="15.75" hidden="false" customHeight="false" outlineLevel="0" collapsed="false">
      <c r="A166" s="0" t="str">
        <f aca="true">IF(B166 = "","",TODAY()-DATE(2017,MONTH(B166),DAY(B166)))</f>
        <v/>
      </c>
      <c r="M166" s="4"/>
    </row>
    <row r="167" customFormat="false" ht="15.75" hidden="false" customHeight="false" outlineLevel="0" collapsed="false">
      <c r="A167" s="0" t="str">
        <f aca="true">IF(B167 = "","",TODAY()-DATE(2017,MONTH(B167),DAY(B167)))</f>
        <v/>
      </c>
      <c r="M167" s="4"/>
    </row>
    <row r="168" customFormat="false" ht="15.75" hidden="false" customHeight="false" outlineLevel="0" collapsed="false">
      <c r="A168" s="0" t="str">
        <f aca="true">IF(B168 = "","",TODAY()-DATE(2017,MONTH(B168),DAY(B168)))</f>
        <v/>
      </c>
      <c r="M168" s="4"/>
    </row>
    <row r="169" customFormat="false" ht="15.75" hidden="false" customHeight="false" outlineLevel="0" collapsed="false">
      <c r="A169" s="0" t="str">
        <f aca="true">IF(B169 = "","",TODAY()-DATE(2017,MONTH(B169),DAY(B169)))</f>
        <v/>
      </c>
      <c r="M169" s="4"/>
    </row>
    <row r="170" customFormat="false" ht="15.75" hidden="false" customHeight="false" outlineLevel="0" collapsed="false">
      <c r="A170" s="0" t="str">
        <f aca="true">IF(B170 = "","",TODAY()-DATE(2017,MONTH(B170),DAY(B170)))</f>
        <v/>
      </c>
      <c r="M170" s="4"/>
    </row>
    <row r="171" customFormat="false" ht="15.75" hidden="false" customHeight="false" outlineLevel="0" collapsed="false">
      <c r="A171" s="0" t="str">
        <f aca="true">IF(B171 = "","",TODAY()-DATE(2017,MONTH(B171),DAY(B171)))</f>
        <v/>
      </c>
      <c r="M171" s="4"/>
    </row>
    <row r="172" customFormat="false" ht="15.75" hidden="false" customHeight="false" outlineLevel="0" collapsed="false">
      <c r="A172" s="0" t="str">
        <f aca="true">IF(B172 = "","",TODAY()-DATE(2017,MONTH(B172),DAY(B172)))</f>
        <v/>
      </c>
      <c r="M172" s="4"/>
    </row>
    <row r="173" customFormat="false" ht="15.75" hidden="false" customHeight="false" outlineLevel="0" collapsed="false">
      <c r="A173" s="0" t="str">
        <f aca="true">IF(B173 = "","",TODAY()-DATE(2017,MONTH(B173),DAY(B173)))</f>
        <v/>
      </c>
      <c r="M173" s="4"/>
    </row>
    <row r="174" customFormat="false" ht="15.75" hidden="false" customHeight="false" outlineLevel="0" collapsed="false">
      <c r="A174" s="0" t="str">
        <f aca="true">IF(B174 = "","",TODAY()-DATE(2017,MONTH(B174),DAY(B174)))</f>
        <v/>
      </c>
      <c r="M174" s="4"/>
    </row>
    <row r="175" customFormat="false" ht="15.75" hidden="false" customHeight="false" outlineLevel="0" collapsed="false">
      <c r="A175" s="0" t="str">
        <f aca="true">IF(B175 = "","",TODAY()-DATE(2017,MONTH(B175),DAY(B175)))</f>
        <v/>
      </c>
      <c r="M175" s="4"/>
    </row>
    <row r="176" customFormat="false" ht="15.75" hidden="false" customHeight="false" outlineLevel="0" collapsed="false">
      <c r="A176" s="0" t="str">
        <f aca="true">IF(B176 = "","",TODAY()-DATE(2017,MONTH(B176),DAY(B176)))</f>
        <v/>
      </c>
      <c r="M176" s="4"/>
    </row>
    <row r="177" customFormat="false" ht="15.75" hidden="false" customHeight="false" outlineLevel="0" collapsed="false">
      <c r="A177" s="0" t="str">
        <f aca="true">IF(B177 = "","",TODAY()-DATE(2017,MONTH(B177),DAY(B177)))</f>
        <v/>
      </c>
      <c r="M177" s="4"/>
    </row>
    <row r="178" customFormat="false" ht="15.75" hidden="false" customHeight="false" outlineLevel="0" collapsed="false">
      <c r="A178" s="0" t="str">
        <f aca="true">IF(B178 = "","",TODAY()-DATE(2017,MONTH(B178),DAY(B178)))</f>
        <v/>
      </c>
      <c r="M178" s="4"/>
    </row>
    <row r="179" customFormat="false" ht="15.75" hidden="false" customHeight="false" outlineLevel="0" collapsed="false">
      <c r="A179" s="0" t="str">
        <f aca="true">IF(B179 = "","",TODAY()-DATE(2017,MONTH(B179),DAY(B179)))</f>
        <v/>
      </c>
      <c r="M179" s="4"/>
    </row>
    <row r="180" customFormat="false" ht="15.75" hidden="false" customHeight="false" outlineLevel="0" collapsed="false">
      <c r="A180" s="0" t="str">
        <f aca="true">IF(B180 = "","",TODAY()-DATE(2017,MONTH(B180),DAY(B180)))</f>
        <v/>
      </c>
      <c r="M180" s="4"/>
    </row>
    <row r="181" customFormat="false" ht="15.75" hidden="false" customHeight="false" outlineLevel="0" collapsed="false">
      <c r="A181" s="0" t="str">
        <f aca="true">IF(B181 = "","",TODAY()-DATE(2017,MONTH(B181),DAY(B181)))</f>
        <v/>
      </c>
      <c r="M181" s="4"/>
    </row>
    <row r="182" customFormat="false" ht="15.75" hidden="false" customHeight="false" outlineLevel="0" collapsed="false">
      <c r="A182" s="0" t="str">
        <f aca="true">IF(B182 = "","",TODAY()-DATE(2017,MONTH(B182),DAY(B182)))</f>
        <v/>
      </c>
      <c r="M182" s="4"/>
    </row>
    <row r="183" customFormat="false" ht="15.75" hidden="false" customHeight="false" outlineLevel="0" collapsed="false">
      <c r="A183" s="0" t="str">
        <f aca="true">IF(B183 = "","",TODAY()-DATE(2017,MONTH(B183),DAY(B183)))</f>
        <v/>
      </c>
      <c r="M183" s="4"/>
    </row>
    <row r="184" customFormat="false" ht="15.75" hidden="false" customHeight="false" outlineLevel="0" collapsed="false">
      <c r="A184" s="0" t="str">
        <f aca="true">IF(B184 = "","",TODAY()-DATE(2017,MONTH(B184),DAY(B184)))</f>
        <v/>
      </c>
      <c r="M184" s="4"/>
    </row>
    <row r="185" customFormat="false" ht="15.75" hidden="false" customHeight="false" outlineLevel="0" collapsed="false">
      <c r="A185" s="0" t="str">
        <f aca="true">IF(B185 = "","",TODAY()-DATE(2017,MONTH(B185),DAY(B185)))</f>
        <v/>
      </c>
      <c r="M185" s="4"/>
    </row>
    <row r="186" customFormat="false" ht="15.75" hidden="false" customHeight="false" outlineLevel="0" collapsed="false">
      <c r="A186" s="0" t="str">
        <f aca="true">IF(B186 = "","",TODAY()-DATE(2017,MONTH(B186),DAY(B186)))</f>
        <v/>
      </c>
      <c r="M186" s="4"/>
    </row>
    <row r="187" customFormat="false" ht="15.75" hidden="false" customHeight="false" outlineLevel="0" collapsed="false">
      <c r="A187" s="0" t="str">
        <f aca="true">IF(B187 = "","",TODAY()-DATE(2017,MONTH(B187),DAY(B187)))</f>
        <v/>
      </c>
      <c r="M187" s="4"/>
    </row>
    <row r="188" customFormat="false" ht="15.75" hidden="false" customHeight="false" outlineLevel="0" collapsed="false">
      <c r="A188" s="0" t="str">
        <f aca="true">IF(B188 = "","",TODAY()-DATE(2017,MONTH(B188),DAY(B188)))</f>
        <v/>
      </c>
      <c r="M188" s="4"/>
    </row>
    <row r="189" customFormat="false" ht="15.75" hidden="false" customHeight="false" outlineLevel="0" collapsed="false">
      <c r="A189" s="0" t="str">
        <f aca="true">IF(B189 = "","",TODAY()-DATE(2017,MONTH(B189),DAY(B189)))</f>
        <v/>
      </c>
      <c r="M189" s="4"/>
    </row>
    <row r="190" customFormat="false" ht="15.75" hidden="false" customHeight="false" outlineLevel="0" collapsed="false">
      <c r="A190" s="0" t="str">
        <f aca="true">IF(B190 = "","",TODAY()-DATE(2017,MONTH(B190),DAY(B190)))</f>
        <v/>
      </c>
      <c r="M190" s="4"/>
    </row>
    <row r="191" customFormat="false" ht="15.75" hidden="false" customHeight="false" outlineLevel="0" collapsed="false">
      <c r="A191" s="0" t="str">
        <f aca="true">IF(B191 = "","",TODAY()-DATE(2017,MONTH(B191),DAY(B191)))</f>
        <v/>
      </c>
      <c r="M191" s="4"/>
    </row>
    <row r="192" customFormat="false" ht="15.75" hidden="false" customHeight="false" outlineLevel="0" collapsed="false">
      <c r="A192" s="0" t="str">
        <f aca="true">IF(B192 = "","",TODAY()-DATE(2017,MONTH(B192),DAY(B192)))</f>
        <v/>
      </c>
      <c r="M192" s="4"/>
    </row>
    <row r="193" customFormat="false" ht="15.75" hidden="false" customHeight="false" outlineLevel="0" collapsed="false">
      <c r="A193" s="0" t="str">
        <f aca="true">IF(B193 = "","",TODAY()-DATE(2017,MONTH(B193),DAY(B193)))</f>
        <v/>
      </c>
      <c r="M193" s="4"/>
    </row>
    <row r="194" customFormat="false" ht="15.75" hidden="false" customHeight="false" outlineLevel="0" collapsed="false">
      <c r="A194" s="0" t="str">
        <f aca="true">IF(B194 = "","",TODAY()-DATE(2017,MONTH(B194),DAY(B194)))</f>
        <v/>
      </c>
      <c r="M194" s="4"/>
    </row>
    <row r="195" customFormat="false" ht="15.75" hidden="false" customHeight="false" outlineLevel="0" collapsed="false">
      <c r="A195" s="0" t="str">
        <f aca="true">IF(B195 = "","",TODAY()-DATE(2017,MONTH(B195),DAY(B195)))</f>
        <v/>
      </c>
      <c r="M195" s="4"/>
    </row>
    <row r="196" customFormat="false" ht="15.75" hidden="false" customHeight="false" outlineLevel="0" collapsed="false">
      <c r="A196" s="0" t="str">
        <f aca="true">IF(B196 = "","",TODAY()-DATE(2017,MONTH(B196),DAY(B196)))</f>
        <v/>
      </c>
      <c r="M196" s="4"/>
    </row>
    <row r="197" customFormat="false" ht="15.75" hidden="false" customHeight="false" outlineLevel="0" collapsed="false">
      <c r="A197" s="0" t="str">
        <f aca="true">IF(B197 = "","",TODAY()-DATE(2017,MONTH(B197),DAY(B197)))</f>
        <v/>
      </c>
      <c r="M197" s="4"/>
    </row>
    <row r="198" customFormat="false" ht="15.75" hidden="false" customHeight="false" outlineLevel="0" collapsed="false">
      <c r="A198" s="0" t="str">
        <f aca="true">IF(B198 = "","",TODAY()-DATE(2017,MONTH(B198),DAY(B198)))</f>
        <v/>
      </c>
      <c r="M198" s="4"/>
    </row>
    <row r="199" customFormat="false" ht="15.75" hidden="false" customHeight="false" outlineLevel="0" collapsed="false">
      <c r="A199" s="0" t="str">
        <f aca="true">IF(B199 = "","",TODAY()-DATE(2017,MONTH(B199),DAY(B199)))</f>
        <v/>
      </c>
      <c r="M199" s="4"/>
    </row>
    <row r="200" customFormat="false" ht="15.75" hidden="false" customHeight="false" outlineLevel="0" collapsed="false">
      <c r="A200" s="0" t="str">
        <f aca="true">IF(B200 = "","",TODAY()-DATE(2017,MONTH(B200),DAY(B200)))</f>
        <v/>
      </c>
      <c r="M200" s="4"/>
    </row>
    <row r="201" customFormat="false" ht="15.75" hidden="false" customHeight="false" outlineLevel="0" collapsed="false">
      <c r="M201" s="4"/>
    </row>
    <row r="202" customFormat="false" ht="15.75" hidden="false" customHeight="false" outlineLevel="0" collapsed="false">
      <c r="M202" s="4"/>
    </row>
    <row r="203" customFormat="false" ht="15.75" hidden="false" customHeight="false" outlineLevel="0" collapsed="false">
      <c r="M203" s="4"/>
    </row>
    <row r="204" customFormat="false" ht="15.75" hidden="false" customHeight="false" outlineLevel="0" collapsed="false">
      <c r="M204" s="4"/>
    </row>
    <row r="205" customFormat="false" ht="15.75" hidden="false" customHeight="false" outlineLevel="0" collapsed="false">
      <c r="M205" s="4"/>
    </row>
    <row r="206" customFormat="false" ht="15.75" hidden="false" customHeight="false" outlineLevel="0" collapsed="false">
      <c r="M206" s="4"/>
    </row>
    <row r="207" customFormat="false" ht="15.75" hidden="false" customHeight="false" outlineLevel="0" collapsed="false">
      <c r="M207" s="4"/>
    </row>
    <row r="208" customFormat="false" ht="15.75" hidden="false" customHeight="false" outlineLevel="0" collapsed="false">
      <c r="M208" s="4"/>
    </row>
    <row r="209" customFormat="false" ht="15.75" hidden="false" customHeight="false" outlineLevel="0" collapsed="false">
      <c r="M209" s="4"/>
    </row>
    <row r="210" customFormat="false" ht="15.75" hidden="false" customHeight="false" outlineLevel="0" collapsed="false">
      <c r="M210" s="4"/>
    </row>
    <row r="211" customFormat="false" ht="15.75" hidden="false" customHeight="false" outlineLevel="0" collapsed="false">
      <c r="M211" s="4"/>
    </row>
    <row r="212" customFormat="false" ht="15.75" hidden="false" customHeight="false" outlineLevel="0" collapsed="false">
      <c r="M212" s="4"/>
    </row>
    <row r="213" customFormat="false" ht="15.75" hidden="false" customHeight="false" outlineLevel="0" collapsed="false">
      <c r="M213" s="4"/>
    </row>
    <row r="214" customFormat="false" ht="15.75" hidden="false" customHeight="false" outlineLevel="0" collapsed="false">
      <c r="M214" s="4"/>
    </row>
    <row r="215" customFormat="false" ht="15.75" hidden="false" customHeight="false" outlineLevel="0" collapsed="false">
      <c r="M215" s="4"/>
    </row>
    <row r="216" customFormat="false" ht="15.75" hidden="false" customHeight="false" outlineLevel="0" collapsed="false">
      <c r="M216" s="4"/>
    </row>
    <row r="217" customFormat="false" ht="15.75" hidden="false" customHeight="false" outlineLevel="0" collapsed="false">
      <c r="M217" s="4"/>
    </row>
    <row r="218" customFormat="false" ht="15.75" hidden="false" customHeight="false" outlineLevel="0" collapsed="false">
      <c r="M218" s="4"/>
    </row>
    <row r="219" customFormat="false" ht="15.75" hidden="false" customHeight="false" outlineLevel="0" collapsed="false">
      <c r="M219" s="4"/>
    </row>
    <row r="220" customFormat="false" ht="15.75" hidden="false" customHeight="false" outlineLevel="0" collapsed="false">
      <c r="M220" s="4"/>
    </row>
    <row r="221" customFormat="false" ht="15.75" hidden="false" customHeight="false" outlineLevel="0" collapsed="false">
      <c r="M221" s="4"/>
    </row>
    <row r="222" customFormat="false" ht="15.75" hidden="false" customHeight="false" outlineLevel="0" collapsed="false">
      <c r="M222" s="4"/>
    </row>
    <row r="223" customFormat="false" ht="15.75" hidden="false" customHeight="false" outlineLevel="0" collapsed="false">
      <c r="M223" s="4"/>
    </row>
    <row r="224" customFormat="false" ht="15.75" hidden="false" customHeight="false" outlineLevel="0" collapsed="false">
      <c r="M224" s="4"/>
    </row>
    <row r="225" customFormat="false" ht="15.75" hidden="false" customHeight="false" outlineLevel="0" collapsed="false">
      <c r="M225" s="4"/>
    </row>
    <row r="226" customFormat="false" ht="15.75" hidden="false" customHeight="false" outlineLevel="0" collapsed="false">
      <c r="M226" s="4"/>
    </row>
    <row r="227" customFormat="false" ht="15.75" hidden="false" customHeight="false" outlineLevel="0" collapsed="false">
      <c r="M227" s="4"/>
    </row>
    <row r="228" customFormat="false" ht="15.75" hidden="false" customHeight="false" outlineLevel="0" collapsed="false">
      <c r="M228" s="4"/>
    </row>
    <row r="229" customFormat="false" ht="15.75" hidden="false" customHeight="false" outlineLevel="0" collapsed="false">
      <c r="M229" s="4"/>
    </row>
    <row r="230" customFormat="false" ht="15.75" hidden="false" customHeight="false" outlineLevel="0" collapsed="false">
      <c r="M230" s="4"/>
    </row>
    <row r="231" customFormat="false" ht="15.75" hidden="false" customHeight="false" outlineLevel="0" collapsed="false">
      <c r="M231" s="4"/>
    </row>
    <row r="232" customFormat="false" ht="15.75" hidden="false" customHeight="false" outlineLevel="0" collapsed="false">
      <c r="M232" s="4"/>
    </row>
    <row r="233" customFormat="false" ht="15.75" hidden="false" customHeight="false" outlineLevel="0" collapsed="false">
      <c r="M233" s="4"/>
    </row>
    <row r="234" customFormat="false" ht="15.75" hidden="false" customHeight="false" outlineLevel="0" collapsed="false">
      <c r="M234" s="4"/>
    </row>
    <row r="235" customFormat="false" ht="15.75" hidden="false" customHeight="false" outlineLevel="0" collapsed="false">
      <c r="M235" s="4"/>
    </row>
    <row r="236" customFormat="false" ht="15.75" hidden="false" customHeight="false" outlineLevel="0" collapsed="false">
      <c r="M236" s="4"/>
    </row>
    <row r="237" customFormat="false" ht="15.75" hidden="false" customHeight="false" outlineLevel="0" collapsed="false">
      <c r="M237" s="4"/>
    </row>
    <row r="238" customFormat="false" ht="15.75" hidden="false" customHeight="false" outlineLevel="0" collapsed="false">
      <c r="M238" s="4"/>
    </row>
    <row r="239" customFormat="false" ht="15.75" hidden="false" customHeight="false" outlineLevel="0" collapsed="false">
      <c r="M239" s="4"/>
    </row>
    <row r="240" customFormat="false" ht="15.75" hidden="false" customHeight="false" outlineLevel="0" collapsed="false">
      <c r="M240" s="4"/>
    </row>
    <row r="241" customFormat="false" ht="15.75" hidden="false" customHeight="false" outlineLevel="0" collapsed="false">
      <c r="M241" s="4"/>
    </row>
    <row r="242" customFormat="false" ht="15.75" hidden="false" customHeight="false" outlineLevel="0" collapsed="false">
      <c r="M242" s="4"/>
    </row>
    <row r="243" customFormat="false" ht="15.75" hidden="false" customHeight="false" outlineLevel="0" collapsed="false">
      <c r="M243" s="4"/>
    </row>
    <row r="244" customFormat="false" ht="15.75" hidden="false" customHeight="false" outlineLevel="0" collapsed="false">
      <c r="M244" s="4"/>
    </row>
    <row r="245" customFormat="false" ht="15.75" hidden="false" customHeight="false" outlineLevel="0" collapsed="false">
      <c r="M245" s="4"/>
    </row>
    <row r="246" customFormat="false" ht="15.75" hidden="false" customHeight="false" outlineLevel="0" collapsed="false">
      <c r="M246" s="4"/>
    </row>
    <row r="247" customFormat="false" ht="15.75" hidden="false" customHeight="false" outlineLevel="0" collapsed="false">
      <c r="M247" s="4"/>
    </row>
    <row r="248" customFormat="false" ht="15.75" hidden="false" customHeight="false" outlineLevel="0" collapsed="false">
      <c r="M248" s="4"/>
    </row>
    <row r="249" customFormat="false" ht="15.75" hidden="false" customHeight="false" outlineLevel="0" collapsed="false">
      <c r="M249" s="4"/>
    </row>
    <row r="250" customFormat="false" ht="15.75" hidden="false" customHeight="false" outlineLevel="0" collapsed="false">
      <c r="M250" s="4"/>
    </row>
    <row r="251" customFormat="false" ht="15.75" hidden="false" customHeight="false" outlineLevel="0" collapsed="false">
      <c r="M251" s="4"/>
    </row>
    <row r="252" customFormat="false" ht="15.75" hidden="false" customHeight="false" outlineLevel="0" collapsed="false">
      <c r="M252" s="4"/>
    </row>
    <row r="253" customFormat="false" ht="15.75" hidden="false" customHeight="false" outlineLevel="0" collapsed="false">
      <c r="M253" s="4"/>
    </row>
    <row r="254" customFormat="false" ht="15.75" hidden="false" customHeight="false" outlineLevel="0" collapsed="false">
      <c r="M254" s="4"/>
    </row>
    <row r="255" customFormat="false" ht="15.75" hidden="false" customHeight="false" outlineLevel="0" collapsed="false">
      <c r="M255" s="4"/>
    </row>
    <row r="256" customFormat="false" ht="15.75" hidden="false" customHeight="false" outlineLevel="0" collapsed="false">
      <c r="M256" s="4"/>
    </row>
    <row r="257" customFormat="false" ht="15.75" hidden="false" customHeight="false" outlineLevel="0" collapsed="false">
      <c r="M257" s="4"/>
    </row>
    <row r="258" customFormat="false" ht="15.75" hidden="false" customHeight="false" outlineLevel="0" collapsed="false">
      <c r="M258" s="4"/>
    </row>
    <row r="259" customFormat="false" ht="15.75" hidden="false" customHeight="false" outlineLevel="0" collapsed="false">
      <c r="M259" s="4"/>
    </row>
    <row r="260" customFormat="false" ht="15.75" hidden="false" customHeight="false" outlineLevel="0" collapsed="false">
      <c r="M260" s="4"/>
    </row>
    <row r="261" customFormat="false" ht="15.75" hidden="false" customHeight="false" outlineLevel="0" collapsed="false">
      <c r="M261" s="4"/>
    </row>
    <row r="262" customFormat="false" ht="15.75" hidden="false" customHeight="false" outlineLevel="0" collapsed="false">
      <c r="M262" s="4"/>
    </row>
    <row r="263" customFormat="false" ht="15.75" hidden="false" customHeight="false" outlineLevel="0" collapsed="false">
      <c r="M263" s="4"/>
    </row>
    <row r="264" customFormat="false" ht="15.75" hidden="false" customHeight="false" outlineLevel="0" collapsed="false">
      <c r="M264" s="4"/>
    </row>
    <row r="265" customFormat="false" ht="15.75" hidden="false" customHeight="false" outlineLevel="0" collapsed="false">
      <c r="M265" s="4"/>
    </row>
    <row r="266" customFormat="false" ht="15.75" hidden="false" customHeight="false" outlineLevel="0" collapsed="false">
      <c r="M266" s="4"/>
    </row>
    <row r="267" customFormat="false" ht="15.75" hidden="false" customHeight="false" outlineLevel="0" collapsed="false">
      <c r="M267" s="4"/>
    </row>
    <row r="268" customFormat="false" ht="15.75" hidden="false" customHeight="false" outlineLevel="0" collapsed="false">
      <c r="M268" s="4"/>
    </row>
    <row r="269" customFormat="false" ht="15.75" hidden="false" customHeight="false" outlineLevel="0" collapsed="false">
      <c r="M269" s="4"/>
    </row>
    <row r="270" customFormat="false" ht="15.75" hidden="false" customHeight="false" outlineLevel="0" collapsed="false">
      <c r="M270" s="4"/>
    </row>
    <row r="271" customFormat="false" ht="15.75" hidden="false" customHeight="false" outlineLevel="0" collapsed="false">
      <c r="M271" s="4"/>
    </row>
    <row r="272" customFormat="false" ht="15.75" hidden="false" customHeight="false" outlineLevel="0" collapsed="false">
      <c r="M272" s="4"/>
    </row>
    <row r="273" customFormat="false" ht="15.75" hidden="false" customHeight="false" outlineLevel="0" collapsed="false">
      <c r="M273" s="4"/>
    </row>
    <row r="274" customFormat="false" ht="15.75" hidden="false" customHeight="false" outlineLevel="0" collapsed="false">
      <c r="M274" s="4"/>
    </row>
    <row r="275" customFormat="false" ht="15.75" hidden="false" customHeight="false" outlineLevel="0" collapsed="false">
      <c r="M275" s="4"/>
    </row>
    <row r="276" customFormat="false" ht="15.75" hidden="false" customHeight="false" outlineLevel="0" collapsed="false">
      <c r="M276" s="4"/>
    </row>
    <row r="277" customFormat="false" ht="15.75" hidden="false" customHeight="false" outlineLevel="0" collapsed="false">
      <c r="M277" s="4"/>
    </row>
    <row r="278" customFormat="false" ht="15.75" hidden="false" customHeight="false" outlineLevel="0" collapsed="false">
      <c r="M278" s="4"/>
    </row>
    <row r="279" customFormat="false" ht="15.75" hidden="false" customHeight="false" outlineLevel="0" collapsed="false">
      <c r="M279" s="4"/>
    </row>
    <row r="280" customFormat="false" ht="15.75" hidden="false" customHeight="false" outlineLevel="0" collapsed="false">
      <c r="M280" s="4"/>
    </row>
    <row r="281" customFormat="false" ht="15.75" hidden="false" customHeight="false" outlineLevel="0" collapsed="false">
      <c r="M281" s="4"/>
    </row>
    <row r="282" customFormat="false" ht="15.75" hidden="false" customHeight="false" outlineLevel="0" collapsed="false">
      <c r="M282" s="4"/>
    </row>
    <row r="283" customFormat="false" ht="15.75" hidden="false" customHeight="false" outlineLevel="0" collapsed="false">
      <c r="M283" s="4"/>
    </row>
    <row r="284" customFormat="false" ht="15.75" hidden="false" customHeight="false" outlineLevel="0" collapsed="false">
      <c r="M284" s="4"/>
    </row>
    <row r="285" customFormat="false" ht="15.75" hidden="false" customHeight="false" outlineLevel="0" collapsed="false">
      <c r="M285" s="4"/>
    </row>
    <row r="286" customFormat="false" ht="15.75" hidden="false" customHeight="false" outlineLevel="0" collapsed="false">
      <c r="M286" s="4"/>
    </row>
    <row r="287" customFormat="false" ht="15.75" hidden="false" customHeight="false" outlineLevel="0" collapsed="false">
      <c r="M287" s="4"/>
    </row>
    <row r="288" customFormat="false" ht="15.75" hidden="false" customHeight="false" outlineLevel="0" collapsed="false">
      <c r="M288" s="4"/>
    </row>
    <row r="289" customFormat="false" ht="15.75" hidden="false" customHeight="false" outlineLevel="0" collapsed="false">
      <c r="M289" s="4"/>
    </row>
    <row r="290" customFormat="false" ht="15.75" hidden="false" customHeight="false" outlineLevel="0" collapsed="false">
      <c r="M290" s="4"/>
    </row>
    <row r="291" customFormat="false" ht="15.75" hidden="false" customHeight="false" outlineLevel="0" collapsed="false">
      <c r="M291" s="4"/>
    </row>
    <row r="292" customFormat="false" ht="15.75" hidden="false" customHeight="false" outlineLevel="0" collapsed="false">
      <c r="M292" s="4"/>
    </row>
    <row r="293" customFormat="false" ht="15.75" hidden="false" customHeight="false" outlineLevel="0" collapsed="false">
      <c r="M293" s="4"/>
    </row>
    <row r="294" customFormat="false" ht="15.75" hidden="false" customHeight="false" outlineLevel="0" collapsed="false">
      <c r="M294" s="4"/>
    </row>
    <row r="295" customFormat="false" ht="15.75" hidden="false" customHeight="false" outlineLevel="0" collapsed="false">
      <c r="M295" s="4"/>
    </row>
    <row r="296" customFormat="false" ht="15.75" hidden="false" customHeight="false" outlineLevel="0" collapsed="false">
      <c r="M296" s="4"/>
    </row>
    <row r="297" customFormat="false" ht="15.75" hidden="false" customHeight="false" outlineLevel="0" collapsed="false">
      <c r="M297" s="4"/>
    </row>
    <row r="298" customFormat="false" ht="15.75" hidden="false" customHeight="false" outlineLevel="0" collapsed="false">
      <c r="M298" s="4"/>
    </row>
    <row r="299" customFormat="false" ht="15.75" hidden="false" customHeight="false" outlineLevel="0" collapsed="false">
      <c r="M299" s="4"/>
    </row>
    <row r="300" customFormat="false" ht="15.75" hidden="false" customHeight="false" outlineLevel="0" collapsed="false">
      <c r="M300" s="4"/>
    </row>
    <row r="301" customFormat="false" ht="15.75" hidden="false" customHeight="false" outlineLevel="0" collapsed="false">
      <c r="M301" s="4"/>
    </row>
    <row r="302" customFormat="false" ht="15.75" hidden="false" customHeight="false" outlineLevel="0" collapsed="false">
      <c r="M302" s="4"/>
    </row>
    <row r="303" customFormat="false" ht="15.75" hidden="false" customHeight="false" outlineLevel="0" collapsed="false">
      <c r="M303" s="4"/>
    </row>
    <row r="304" customFormat="false" ht="15.75" hidden="false" customHeight="false" outlineLevel="0" collapsed="false">
      <c r="M304" s="4"/>
    </row>
    <row r="305" customFormat="false" ht="15.75" hidden="false" customHeight="false" outlineLevel="0" collapsed="false">
      <c r="M305" s="4"/>
    </row>
    <row r="306" customFormat="false" ht="15.75" hidden="false" customHeight="false" outlineLevel="0" collapsed="false">
      <c r="M306" s="4"/>
    </row>
    <row r="307" customFormat="false" ht="15.75" hidden="false" customHeight="false" outlineLevel="0" collapsed="false">
      <c r="M307" s="4"/>
    </row>
    <row r="308" customFormat="false" ht="15.75" hidden="false" customHeight="false" outlineLevel="0" collapsed="false">
      <c r="M308" s="4"/>
    </row>
    <row r="309" customFormat="false" ht="15.75" hidden="false" customHeight="false" outlineLevel="0" collapsed="false">
      <c r="M309" s="4"/>
    </row>
    <row r="310" customFormat="false" ht="15.75" hidden="false" customHeight="false" outlineLevel="0" collapsed="false">
      <c r="M310" s="4"/>
    </row>
    <row r="311" customFormat="false" ht="15.75" hidden="false" customHeight="false" outlineLevel="0" collapsed="false">
      <c r="M311" s="4"/>
    </row>
    <row r="312" customFormat="false" ht="15.75" hidden="false" customHeight="false" outlineLevel="0" collapsed="false">
      <c r="M312" s="4"/>
    </row>
    <row r="313" customFormat="false" ht="15.75" hidden="false" customHeight="false" outlineLevel="0" collapsed="false">
      <c r="M313" s="4"/>
    </row>
    <row r="314" customFormat="false" ht="15.75" hidden="false" customHeight="false" outlineLevel="0" collapsed="false">
      <c r="M314" s="4"/>
    </row>
    <row r="315" customFormat="false" ht="15.75" hidden="false" customHeight="false" outlineLevel="0" collapsed="false">
      <c r="M315" s="4"/>
    </row>
    <row r="316" customFormat="false" ht="15.75" hidden="false" customHeight="false" outlineLevel="0" collapsed="false">
      <c r="M316" s="4"/>
    </row>
    <row r="317" customFormat="false" ht="15.75" hidden="false" customHeight="false" outlineLevel="0" collapsed="false">
      <c r="M317" s="4"/>
    </row>
    <row r="318" customFormat="false" ht="15.75" hidden="false" customHeight="false" outlineLevel="0" collapsed="false">
      <c r="M318" s="4"/>
    </row>
    <row r="319" customFormat="false" ht="15.75" hidden="false" customHeight="false" outlineLevel="0" collapsed="false">
      <c r="M319" s="4"/>
    </row>
    <row r="320" customFormat="false" ht="15.75" hidden="false" customHeight="false" outlineLevel="0" collapsed="false">
      <c r="M320" s="4"/>
    </row>
    <row r="321" customFormat="false" ht="15.75" hidden="false" customHeight="false" outlineLevel="0" collapsed="false">
      <c r="M321" s="4"/>
    </row>
    <row r="322" customFormat="false" ht="15.75" hidden="false" customHeight="false" outlineLevel="0" collapsed="false">
      <c r="M322" s="4"/>
    </row>
    <row r="323" customFormat="false" ht="15.75" hidden="false" customHeight="false" outlineLevel="0" collapsed="false">
      <c r="M323" s="4"/>
    </row>
    <row r="324" customFormat="false" ht="15.75" hidden="false" customHeight="false" outlineLevel="0" collapsed="false">
      <c r="M324" s="4"/>
    </row>
    <row r="325" customFormat="false" ht="15.75" hidden="false" customHeight="false" outlineLevel="0" collapsed="false">
      <c r="M325" s="4"/>
    </row>
    <row r="326" customFormat="false" ht="15.75" hidden="false" customHeight="false" outlineLevel="0" collapsed="false">
      <c r="M326" s="4"/>
    </row>
    <row r="327" customFormat="false" ht="15.75" hidden="false" customHeight="false" outlineLevel="0" collapsed="false">
      <c r="M327" s="4"/>
    </row>
    <row r="328" customFormat="false" ht="15.75" hidden="false" customHeight="false" outlineLevel="0" collapsed="false">
      <c r="M328" s="4"/>
    </row>
    <row r="329" customFormat="false" ht="15.75" hidden="false" customHeight="false" outlineLevel="0" collapsed="false">
      <c r="M329" s="4"/>
    </row>
    <row r="330" customFormat="false" ht="15.75" hidden="false" customHeight="false" outlineLevel="0" collapsed="false">
      <c r="M330" s="4"/>
    </row>
    <row r="331" customFormat="false" ht="15.75" hidden="false" customHeight="false" outlineLevel="0" collapsed="false">
      <c r="M331" s="4"/>
    </row>
    <row r="332" customFormat="false" ht="15.75" hidden="false" customHeight="false" outlineLevel="0" collapsed="false">
      <c r="M332" s="4"/>
    </row>
    <row r="333" customFormat="false" ht="15.75" hidden="false" customHeight="false" outlineLevel="0" collapsed="false">
      <c r="M333" s="4"/>
    </row>
    <row r="334" customFormat="false" ht="15.75" hidden="false" customHeight="false" outlineLevel="0" collapsed="false">
      <c r="M334" s="4"/>
    </row>
    <row r="335" customFormat="false" ht="15.75" hidden="false" customHeight="false" outlineLevel="0" collapsed="false">
      <c r="M335" s="4"/>
    </row>
    <row r="336" customFormat="false" ht="15.75" hidden="false" customHeight="false" outlineLevel="0" collapsed="false">
      <c r="M336" s="4"/>
    </row>
    <row r="337" customFormat="false" ht="15.75" hidden="false" customHeight="false" outlineLevel="0" collapsed="false">
      <c r="M337" s="4"/>
    </row>
    <row r="338" customFormat="false" ht="15.75" hidden="false" customHeight="false" outlineLevel="0" collapsed="false">
      <c r="M338" s="4"/>
    </row>
    <row r="339" customFormat="false" ht="15.75" hidden="false" customHeight="false" outlineLevel="0" collapsed="false">
      <c r="M339" s="4"/>
    </row>
    <row r="340" customFormat="false" ht="15.75" hidden="false" customHeight="false" outlineLevel="0" collapsed="false">
      <c r="M340" s="4"/>
    </row>
    <row r="341" customFormat="false" ht="15.75" hidden="false" customHeight="false" outlineLevel="0" collapsed="false">
      <c r="M341" s="4"/>
    </row>
    <row r="342" customFormat="false" ht="15.75" hidden="false" customHeight="false" outlineLevel="0" collapsed="false">
      <c r="M342" s="4"/>
    </row>
    <row r="343" customFormat="false" ht="15.75" hidden="false" customHeight="false" outlineLevel="0" collapsed="false">
      <c r="M343" s="4"/>
    </row>
    <row r="344" customFormat="false" ht="15.75" hidden="false" customHeight="false" outlineLevel="0" collapsed="false">
      <c r="M344" s="4"/>
    </row>
    <row r="345" customFormat="false" ht="15.75" hidden="false" customHeight="false" outlineLevel="0" collapsed="false">
      <c r="M345" s="4"/>
    </row>
    <row r="346" customFormat="false" ht="15.75" hidden="false" customHeight="false" outlineLevel="0" collapsed="false">
      <c r="M346" s="4"/>
    </row>
    <row r="347" customFormat="false" ht="15.75" hidden="false" customHeight="false" outlineLevel="0" collapsed="false">
      <c r="M347" s="4"/>
    </row>
    <row r="348" customFormat="false" ht="15.75" hidden="false" customHeight="false" outlineLevel="0" collapsed="false">
      <c r="M348" s="4"/>
    </row>
    <row r="349" customFormat="false" ht="15.75" hidden="false" customHeight="false" outlineLevel="0" collapsed="false">
      <c r="M349" s="4"/>
    </row>
    <row r="350" customFormat="false" ht="15.75" hidden="false" customHeight="false" outlineLevel="0" collapsed="false">
      <c r="M350" s="4"/>
    </row>
    <row r="351" customFormat="false" ht="15.75" hidden="false" customHeight="false" outlineLevel="0" collapsed="false">
      <c r="M351" s="4"/>
    </row>
    <row r="352" customFormat="false" ht="15.75" hidden="false" customHeight="false" outlineLevel="0" collapsed="false">
      <c r="M352" s="4"/>
    </row>
    <row r="353" customFormat="false" ht="15.75" hidden="false" customHeight="false" outlineLevel="0" collapsed="false">
      <c r="M353" s="4"/>
    </row>
    <row r="354" customFormat="false" ht="15.75" hidden="false" customHeight="false" outlineLevel="0" collapsed="false">
      <c r="M354" s="4"/>
    </row>
    <row r="355" customFormat="false" ht="15.75" hidden="false" customHeight="false" outlineLevel="0" collapsed="false">
      <c r="M355" s="4"/>
    </row>
    <row r="356" customFormat="false" ht="15.75" hidden="false" customHeight="false" outlineLevel="0" collapsed="false">
      <c r="M356" s="4"/>
    </row>
    <row r="357" customFormat="false" ht="15.75" hidden="false" customHeight="false" outlineLevel="0" collapsed="false">
      <c r="M357" s="4"/>
    </row>
    <row r="358" customFormat="false" ht="15.75" hidden="false" customHeight="false" outlineLevel="0" collapsed="false">
      <c r="M358" s="4"/>
    </row>
    <row r="359" customFormat="false" ht="15.75" hidden="false" customHeight="false" outlineLevel="0" collapsed="false">
      <c r="M359" s="4"/>
    </row>
    <row r="360" customFormat="false" ht="15.75" hidden="false" customHeight="false" outlineLevel="0" collapsed="false">
      <c r="M360" s="4"/>
    </row>
    <row r="361" customFormat="false" ht="15.75" hidden="false" customHeight="false" outlineLevel="0" collapsed="false">
      <c r="M361" s="4"/>
    </row>
    <row r="362" customFormat="false" ht="15.75" hidden="false" customHeight="false" outlineLevel="0" collapsed="false">
      <c r="M362" s="4"/>
    </row>
    <row r="363" customFormat="false" ht="15.75" hidden="false" customHeight="false" outlineLevel="0" collapsed="false">
      <c r="M363" s="4"/>
    </row>
    <row r="364" customFormat="false" ht="15.75" hidden="false" customHeight="false" outlineLevel="0" collapsed="false">
      <c r="M364" s="4"/>
    </row>
    <row r="365" customFormat="false" ht="15.75" hidden="false" customHeight="false" outlineLevel="0" collapsed="false">
      <c r="M365" s="4"/>
    </row>
    <row r="366" customFormat="false" ht="15.75" hidden="false" customHeight="false" outlineLevel="0" collapsed="false">
      <c r="M366" s="4"/>
    </row>
    <row r="367" customFormat="false" ht="15.75" hidden="false" customHeight="false" outlineLevel="0" collapsed="false">
      <c r="M367" s="4"/>
    </row>
    <row r="368" customFormat="false" ht="15.75" hidden="false" customHeight="false" outlineLevel="0" collapsed="false">
      <c r="M368" s="4"/>
    </row>
    <row r="369" customFormat="false" ht="15.75" hidden="false" customHeight="false" outlineLevel="0" collapsed="false">
      <c r="M369" s="4"/>
    </row>
    <row r="370" customFormat="false" ht="15.75" hidden="false" customHeight="false" outlineLevel="0" collapsed="false">
      <c r="M370" s="4"/>
    </row>
    <row r="371" customFormat="false" ht="15.75" hidden="false" customHeight="false" outlineLevel="0" collapsed="false">
      <c r="M371" s="4"/>
    </row>
    <row r="372" customFormat="false" ht="15.75" hidden="false" customHeight="false" outlineLevel="0" collapsed="false">
      <c r="M372" s="4"/>
    </row>
    <row r="373" customFormat="false" ht="15.75" hidden="false" customHeight="false" outlineLevel="0" collapsed="false">
      <c r="M373" s="4"/>
    </row>
    <row r="374" customFormat="false" ht="15.75" hidden="false" customHeight="false" outlineLevel="0" collapsed="false">
      <c r="M374" s="4"/>
    </row>
    <row r="375" customFormat="false" ht="15.75" hidden="false" customHeight="false" outlineLevel="0" collapsed="false">
      <c r="M375" s="4"/>
    </row>
    <row r="376" customFormat="false" ht="15.75" hidden="false" customHeight="false" outlineLevel="0" collapsed="false">
      <c r="M376" s="4"/>
    </row>
    <row r="377" customFormat="false" ht="15.75" hidden="false" customHeight="false" outlineLevel="0" collapsed="false">
      <c r="M377" s="4"/>
    </row>
    <row r="378" customFormat="false" ht="15.75" hidden="false" customHeight="false" outlineLevel="0" collapsed="false">
      <c r="M378" s="4"/>
    </row>
    <row r="379" customFormat="false" ht="15.75" hidden="false" customHeight="false" outlineLevel="0" collapsed="false">
      <c r="M379" s="4"/>
    </row>
    <row r="380" customFormat="false" ht="15.75" hidden="false" customHeight="false" outlineLevel="0" collapsed="false">
      <c r="M380" s="4"/>
    </row>
    <row r="381" customFormat="false" ht="15.75" hidden="false" customHeight="false" outlineLevel="0" collapsed="false">
      <c r="M381" s="4"/>
    </row>
    <row r="382" customFormat="false" ht="15.75" hidden="false" customHeight="false" outlineLevel="0" collapsed="false">
      <c r="M382" s="4"/>
    </row>
    <row r="383" customFormat="false" ht="15.75" hidden="false" customHeight="false" outlineLevel="0" collapsed="false">
      <c r="M383" s="4"/>
    </row>
    <row r="384" customFormat="false" ht="15.75" hidden="false" customHeight="false" outlineLevel="0" collapsed="false">
      <c r="M384" s="4"/>
    </row>
    <row r="385" customFormat="false" ht="15.75" hidden="false" customHeight="false" outlineLevel="0" collapsed="false">
      <c r="M385" s="4"/>
    </row>
    <row r="386" customFormat="false" ht="15.75" hidden="false" customHeight="false" outlineLevel="0" collapsed="false">
      <c r="M386" s="4"/>
    </row>
    <row r="387" customFormat="false" ht="15.75" hidden="false" customHeight="false" outlineLevel="0" collapsed="false">
      <c r="M387" s="4"/>
    </row>
    <row r="388" customFormat="false" ht="15.75" hidden="false" customHeight="false" outlineLevel="0" collapsed="false">
      <c r="M388" s="4"/>
    </row>
    <row r="389" customFormat="false" ht="15.75" hidden="false" customHeight="false" outlineLevel="0" collapsed="false">
      <c r="M389" s="4"/>
    </row>
    <row r="390" customFormat="false" ht="15.75" hidden="false" customHeight="false" outlineLevel="0" collapsed="false">
      <c r="M390" s="4"/>
    </row>
    <row r="391" customFormat="false" ht="15.75" hidden="false" customHeight="false" outlineLevel="0" collapsed="false">
      <c r="M391" s="4"/>
    </row>
    <row r="392" customFormat="false" ht="15.75" hidden="false" customHeight="false" outlineLevel="0" collapsed="false">
      <c r="M392" s="4"/>
    </row>
    <row r="393" customFormat="false" ht="15.75" hidden="false" customHeight="false" outlineLevel="0" collapsed="false">
      <c r="M393" s="4"/>
    </row>
    <row r="394" customFormat="false" ht="15.75" hidden="false" customHeight="false" outlineLevel="0" collapsed="false">
      <c r="M394" s="4"/>
    </row>
    <row r="395" customFormat="false" ht="15.75" hidden="false" customHeight="false" outlineLevel="0" collapsed="false">
      <c r="M395" s="4"/>
    </row>
    <row r="396" customFormat="false" ht="15.75" hidden="false" customHeight="false" outlineLevel="0" collapsed="false">
      <c r="M396" s="4"/>
    </row>
    <row r="397" customFormat="false" ht="15.75" hidden="false" customHeight="false" outlineLevel="0" collapsed="false">
      <c r="M397" s="4"/>
    </row>
    <row r="398" customFormat="false" ht="15.75" hidden="false" customHeight="false" outlineLevel="0" collapsed="false">
      <c r="M398" s="4"/>
    </row>
    <row r="399" customFormat="false" ht="15.75" hidden="false" customHeight="false" outlineLevel="0" collapsed="false">
      <c r="M399" s="4"/>
    </row>
    <row r="400" customFormat="false" ht="15.75" hidden="false" customHeight="false" outlineLevel="0" collapsed="false">
      <c r="M400" s="4"/>
    </row>
    <row r="401" customFormat="false" ht="15.75" hidden="false" customHeight="false" outlineLevel="0" collapsed="false">
      <c r="M401" s="4"/>
    </row>
    <row r="402" customFormat="false" ht="15.75" hidden="false" customHeight="false" outlineLevel="0" collapsed="false">
      <c r="M402" s="4"/>
    </row>
    <row r="403" customFormat="false" ht="15.75" hidden="false" customHeight="false" outlineLevel="0" collapsed="false">
      <c r="M403" s="4"/>
    </row>
    <row r="404" customFormat="false" ht="15.75" hidden="false" customHeight="false" outlineLevel="0" collapsed="false">
      <c r="M404" s="4"/>
    </row>
    <row r="405" customFormat="false" ht="15.75" hidden="false" customHeight="false" outlineLevel="0" collapsed="false">
      <c r="M405" s="4"/>
    </row>
    <row r="406" customFormat="false" ht="15.75" hidden="false" customHeight="false" outlineLevel="0" collapsed="false">
      <c r="M406" s="4"/>
    </row>
    <row r="407" customFormat="false" ht="15.75" hidden="false" customHeight="false" outlineLevel="0" collapsed="false">
      <c r="M407" s="4"/>
    </row>
    <row r="408" customFormat="false" ht="15.75" hidden="false" customHeight="false" outlineLevel="0" collapsed="false">
      <c r="M408" s="4"/>
    </row>
    <row r="409" customFormat="false" ht="15.75" hidden="false" customHeight="false" outlineLevel="0" collapsed="false">
      <c r="M409" s="4"/>
    </row>
    <row r="410" customFormat="false" ht="15.75" hidden="false" customHeight="false" outlineLevel="0" collapsed="false">
      <c r="M410" s="4"/>
    </row>
    <row r="411" customFormat="false" ht="15.75" hidden="false" customHeight="false" outlineLevel="0" collapsed="false">
      <c r="M411" s="4"/>
    </row>
    <row r="412" customFormat="false" ht="15.75" hidden="false" customHeight="false" outlineLevel="0" collapsed="false">
      <c r="M412" s="4"/>
    </row>
    <row r="413" customFormat="false" ht="15.75" hidden="false" customHeight="false" outlineLevel="0" collapsed="false">
      <c r="M413" s="4"/>
    </row>
    <row r="414" customFormat="false" ht="15.75" hidden="false" customHeight="false" outlineLevel="0" collapsed="false">
      <c r="M414" s="4"/>
    </row>
    <row r="415" customFormat="false" ht="15.75" hidden="false" customHeight="false" outlineLevel="0" collapsed="false">
      <c r="M415" s="4"/>
    </row>
    <row r="416" customFormat="false" ht="15.75" hidden="false" customHeight="false" outlineLevel="0" collapsed="false">
      <c r="M416" s="4"/>
    </row>
    <row r="417" customFormat="false" ht="15.75" hidden="false" customHeight="false" outlineLevel="0" collapsed="false">
      <c r="M417" s="4"/>
    </row>
    <row r="418" customFormat="false" ht="15.75" hidden="false" customHeight="false" outlineLevel="0" collapsed="false">
      <c r="M418" s="4"/>
    </row>
    <row r="419" customFormat="false" ht="15.75" hidden="false" customHeight="false" outlineLevel="0" collapsed="false">
      <c r="M419" s="4"/>
    </row>
    <row r="420" customFormat="false" ht="15.75" hidden="false" customHeight="false" outlineLevel="0" collapsed="false">
      <c r="M420" s="4"/>
    </row>
    <row r="421" customFormat="false" ht="15.75" hidden="false" customHeight="false" outlineLevel="0" collapsed="false">
      <c r="M421" s="4"/>
    </row>
    <row r="422" customFormat="false" ht="15.75" hidden="false" customHeight="false" outlineLevel="0" collapsed="false">
      <c r="M422" s="4"/>
    </row>
    <row r="423" customFormat="false" ht="15.75" hidden="false" customHeight="false" outlineLevel="0" collapsed="false">
      <c r="M423" s="4"/>
    </row>
    <row r="424" customFormat="false" ht="15.75" hidden="false" customHeight="false" outlineLevel="0" collapsed="false">
      <c r="M424" s="4"/>
    </row>
    <row r="425" customFormat="false" ht="15.75" hidden="false" customHeight="false" outlineLevel="0" collapsed="false">
      <c r="M425" s="4"/>
    </row>
    <row r="426" customFormat="false" ht="15.75" hidden="false" customHeight="false" outlineLevel="0" collapsed="false">
      <c r="M426" s="4"/>
    </row>
    <row r="427" customFormat="false" ht="15.75" hidden="false" customHeight="false" outlineLevel="0" collapsed="false">
      <c r="M427" s="4"/>
    </row>
    <row r="428" customFormat="false" ht="15.75" hidden="false" customHeight="false" outlineLevel="0" collapsed="false">
      <c r="M428" s="4"/>
    </row>
    <row r="429" customFormat="false" ht="15.75" hidden="false" customHeight="false" outlineLevel="0" collapsed="false">
      <c r="M429" s="4"/>
    </row>
    <row r="430" customFormat="false" ht="15.75" hidden="false" customHeight="false" outlineLevel="0" collapsed="false">
      <c r="M430" s="4"/>
    </row>
    <row r="431" customFormat="false" ht="15.75" hidden="false" customHeight="false" outlineLevel="0" collapsed="false">
      <c r="M431" s="4"/>
    </row>
    <row r="432" customFormat="false" ht="15.75" hidden="false" customHeight="false" outlineLevel="0" collapsed="false">
      <c r="M432" s="4"/>
    </row>
    <row r="433" customFormat="false" ht="15.75" hidden="false" customHeight="false" outlineLevel="0" collapsed="false">
      <c r="M433" s="4"/>
    </row>
    <row r="434" customFormat="false" ht="15.75" hidden="false" customHeight="false" outlineLevel="0" collapsed="false">
      <c r="M434" s="4"/>
    </row>
    <row r="435" customFormat="false" ht="15.75" hidden="false" customHeight="false" outlineLevel="0" collapsed="false">
      <c r="M435" s="4"/>
    </row>
    <row r="436" customFormat="false" ht="15.75" hidden="false" customHeight="false" outlineLevel="0" collapsed="false">
      <c r="M436" s="4"/>
    </row>
    <row r="437" customFormat="false" ht="15.75" hidden="false" customHeight="false" outlineLevel="0" collapsed="false">
      <c r="M437" s="4"/>
    </row>
    <row r="438" customFormat="false" ht="15.75" hidden="false" customHeight="false" outlineLevel="0" collapsed="false">
      <c r="M438" s="4"/>
    </row>
    <row r="439" customFormat="false" ht="15.75" hidden="false" customHeight="false" outlineLevel="0" collapsed="false">
      <c r="M439" s="4"/>
    </row>
    <row r="440" customFormat="false" ht="15.75" hidden="false" customHeight="false" outlineLevel="0" collapsed="false">
      <c r="M440" s="4"/>
    </row>
    <row r="441" customFormat="false" ht="15.75" hidden="false" customHeight="false" outlineLevel="0" collapsed="false">
      <c r="M441" s="4"/>
    </row>
    <row r="442" customFormat="false" ht="15.75" hidden="false" customHeight="false" outlineLevel="0" collapsed="false">
      <c r="M442" s="4"/>
    </row>
    <row r="443" customFormat="false" ht="15.75" hidden="false" customHeight="false" outlineLevel="0" collapsed="false">
      <c r="M443" s="4"/>
    </row>
    <row r="444" customFormat="false" ht="15.75" hidden="false" customHeight="false" outlineLevel="0" collapsed="false">
      <c r="M444" s="4"/>
    </row>
    <row r="445" customFormat="false" ht="15.75" hidden="false" customHeight="false" outlineLevel="0" collapsed="false">
      <c r="M445" s="4"/>
    </row>
    <row r="446" customFormat="false" ht="15.75" hidden="false" customHeight="false" outlineLevel="0" collapsed="false">
      <c r="M446" s="4"/>
    </row>
    <row r="447" customFormat="false" ht="15.75" hidden="false" customHeight="false" outlineLevel="0" collapsed="false">
      <c r="M447" s="4"/>
    </row>
    <row r="448" customFormat="false" ht="15.75" hidden="false" customHeight="false" outlineLevel="0" collapsed="false">
      <c r="M448" s="4"/>
    </row>
    <row r="449" customFormat="false" ht="15.75" hidden="false" customHeight="false" outlineLevel="0" collapsed="false">
      <c r="M449" s="4"/>
    </row>
    <row r="450" customFormat="false" ht="15.75" hidden="false" customHeight="false" outlineLevel="0" collapsed="false">
      <c r="M450" s="4"/>
    </row>
    <row r="451" customFormat="false" ht="15.75" hidden="false" customHeight="false" outlineLevel="0" collapsed="false">
      <c r="M451" s="4"/>
    </row>
    <row r="452" customFormat="false" ht="15.75" hidden="false" customHeight="false" outlineLevel="0" collapsed="false">
      <c r="M452" s="4"/>
    </row>
    <row r="453" customFormat="false" ht="15.75" hidden="false" customHeight="false" outlineLevel="0" collapsed="false">
      <c r="M453" s="4"/>
    </row>
    <row r="454" customFormat="false" ht="15.75" hidden="false" customHeight="false" outlineLevel="0" collapsed="false">
      <c r="M454" s="4"/>
    </row>
    <row r="455" customFormat="false" ht="15.75" hidden="false" customHeight="false" outlineLevel="0" collapsed="false">
      <c r="M455" s="4"/>
    </row>
    <row r="456" customFormat="false" ht="15.75" hidden="false" customHeight="false" outlineLevel="0" collapsed="false">
      <c r="M456" s="4"/>
    </row>
    <row r="457" customFormat="false" ht="15.75" hidden="false" customHeight="false" outlineLevel="0" collapsed="false">
      <c r="M457" s="4"/>
    </row>
    <row r="458" customFormat="false" ht="15.75" hidden="false" customHeight="false" outlineLevel="0" collapsed="false">
      <c r="M458" s="4"/>
    </row>
    <row r="459" customFormat="false" ht="15.75" hidden="false" customHeight="false" outlineLevel="0" collapsed="false">
      <c r="M459" s="4"/>
    </row>
    <row r="460" customFormat="false" ht="15.75" hidden="false" customHeight="false" outlineLevel="0" collapsed="false">
      <c r="M460" s="4"/>
    </row>
    <row r="461" customFormat="false" ht="15.75" hidden="false" customHeight="false" outlineLevel="0" collapsed="false">
      <c r="M461" s="4"/>
    </row>
    <row r="462" customFormat="false" ht="15.75" hidden="false" customHeight="false" outlineLevel="0" collapsed="false">
      <c r="M462" s="4"/>
    </row>
    <row r="463" customFormat="false" ht="15.75" hidden="false" customHeight="false" outlineLevel="0" collapsed="false">
      <c r="M463" s="4"/>
    </row>
    <row r="464" customFormat="false" ht="15.75" hidden="false" customHeight="false" outlineLevel="0" collapsed="false">
      <c r="M464" s="4"/>
    </row>
    <row r="465" customFormat="false" ht="15.75" hidden="false" customHeight="false" outlineLevel="0" collapsed="false">
      <c r="M465" s="4"/>
    </row>
    <row r="466" customFormat="false" ht="15.75" hidden="false" customHeight="false" outlineLevel="0" collapsed="false">
      <c r="M466" s="4"/>
    </row>
    <row r="467" customFormat="false" ht="15.75" hidden="false" customHeight="false" outlineLevel="0" collapsed="false">
      <c r="M467" s="4"/>
    </row>
    <row r="468" customFormat="false" ht="15.75" hidden="false" customHeight="false" outlineLevel="0" collapsed="false">
      <c r="M468" s="4"/>
    </row>
    <row r="469" customFormat="false" ht="15.75" hidden="false" customHeight="false" outlineLevel="0" collapsed="false">
      <c r="M469" s="4"/>
    </row>
    <row r="470" customFormat="false" ht="15.75" hidden="false" customHeight="false" outlineLevel="0" collapsed="false">
      <c r="M470" s="4"/>
    </row>
    <row r="471" customFormat="false" ht="15.75" hidden="false" customHeight="false" outlineLevel="0" collapsed="false">
      <c r="M471" s="4"/>
    </row>
    <row r="472" customFormat="false" ht="15.75" hidden="false" customHeight="false" outlineLevel="0" collapsed="false">
      <c r="M472" s="4"/>
    </row>
    <row r="473" customFormat="false" ht="15.75" hidden="false" customHeight="false" outlineLevel="0" collapsed="false">
      <c r="M473" s="4"/>
    </row>
    <row r="474" customFormat="false" ht="15.75" hidden="false" customHeight="false" outlineLevel="0" collapsed="false">
      <c r="M474" s="4"/>
    </row>
    <row r="475" customFormat="false" ht="15.75" hidden="false" customHeight="false" outlineLevel="0" collapsed="false">
      <c r="M475" s="4"/>
    </row>
    <row r="476" customFormat="false" ht="15.75" hidden="false" customHeight="false" outlineLevel="0" collapsed="false">
      <c r="M476" s="4"/>
    </row>
    <row r="477" customFormat="false" ht="15.75" hidden="false" customHeight="false" outlineLevel="0" collapsed="false">
      <c r="M477" s="4"/>
    </row>
    <row r="478" customFormat="false" ht="15.75" hidden="false" customHeight="false" outlineLevel="0" collapsed="false">
      <c r="M478" s="4"/>
    </row>
    <row r="479" customFormat="false" ht="15.75" hidden="false" customHeight="false" outlineLevel="0" collapsed="false">
      <c r="M479" s="4"/>
    </row>
    <row r="480" customFormat="false" ht="15.75" hidden="false" customHeight="false" outlineLevel="0" collapsed="false">
      <c r="M480" s="4"/>
    </row>
    <row r="481" customFormat="false" ht="15.75" hidden="false" customHeight="false" outlineLevel="0" collapsed="false">
      <c r="M481" s="4"/>
    </row>
    <row r="482" customFormat="false" ht="15.75" hidden="false" customHeight="false" outlineLevel="0" collapsed="false">
      <c r="M482" s="4"/>
    </row>
    <row r="483" customFormat="false" ht="15.75" hidden="false" customHeight="false" outlineLevel="0" collapsed="false">
      <c r="M483" s="4"/>
    </row>
    <row r="484" customFormat="false" ht="15.75" hidden="false" customHeight="false" outlineLevel="0" collapsed="false">
      <c r="M484" s="4"/>
    </row>
    <row r="485" customFormat="false" ht="15.75" hidden="false" customHeight="false" outlineLevel="0" collapsed="false">
      <c r="M485" s="4"/>
    </row>
    <row r="486" customFormat="false" ht="15.75" hidden="false" customHeight="false" outlineLevel="0" collapsed="false">
      <c r="M486" s="4"/>
    </row>
    <row r="487" customFormat="false" ht="15.75" hidden="false" customHeight="false" outlineLevel="0" collapsed="false">
      <c r="M487" s="4"/>
    </row>
    <row r="488" customFormat="false" ht="15.75" hidden="false" customHeight="false" outlineLevel="0" collapsed="false">
      <c r="M488" s="4"/>
    </row>
    <row r="489" customFormat="false" ht="15.75" hidden="false" customHeight="false" outlineLevel="0" collapsed="false">
      <c r="M489" s="4"/>
    </row>
    <row r="490" customFormat="false" ht="15.75" hidden="false" customHeight="false" outlineLevel="0" collapsed="false">
      <c r="M490" s="4"/>
    </row>
    <row r="491" customFormat="false" ht="15.75" hidden="false" customHeight="false" outlineLevel="0" collapsed="false">
      <c r="M491" s="4"/>
    </row>
    <row r="492" customFormat="false" ht="15.75" hidden="false" customHeight="false" outlineLevel="0" collapsed="false">
      <c r="M492" s="4"/>
    </row>
    <row r="493" customFormat="false" ht="15.75" hidden="false" customHeight="false" outlineLevel="0" collapsed="false">
      <c r="M493" s="4"/>
    </row>
    <row r="494" customFormat="false" ht="15.75" hidden="false" customHeight="false" outlineLevel="0" collapsed="false">
      <c r="M494" s="4"/>
    </row>
    <row r="495" customFormat="false" ht="15.75" hidden="false" customHeight="false" outlineLevel="0" collapsed="false">
      <c r="M495" s="4"/>
    </row>
    <row r="496" customFormat="false" ht="15.75" hidden="false" customHeight="false" outlineLevel="0" collapsed="false">
      <c r="M496" s="4"/>
    </row>
    <row r="497" customFormat="false" ht="15.75" hidden="false" customHeight="false" outlineLevel="0" collapsed="false">
      <c r="M497" s="4"/>
    </row>
    <row r="498" customFormat="false" ht="15.75" hidden="false" customHeight="false" outlineLevel="0" collapsed="false">
      <c r="M498" s="4"/>
    </row>
    <row r="499" customFormat="false" ht="15.75" hidden="false" customHeight="false" outlineLevel="0" collapsed="false">
      <c r="M499" s="4"/>
    </row>
    <row r="500" customFormat="false" ht="15.75" hidden="false" customHeight="false" outlineLevel="0" collapsed="false">
      <c r="M500" s="4"/>
    </row>
    <row r="501" customFormat="false" ht="15.75" hidden="false" customHeight="false" outlineLevel="0" collapsed="false">
      <c r="M501" s="4"/>
    </row>
    <row r="502" customFormat="false" ht="15.75" hidden="false" customHeight="false" outlineLevel="0" collapsed="false">
      <c r="M502" s="4"/>
    </row>
    <row r="503" customFormat="false" ht="15.75" hidden="false" customHeight="false" outlineLevel="0" collapsed="false">
      <c r="M503" s="4"/>
    </row>
    <row r="504" customFormat="false" ht="15.75" hidden="false" customHeight="false" outlineLevel="0" collapsed="false">
      <c r="M504" s="4"/>
    </row>
    <row r="505" customFormat="false" ht="15.75" hidden="false" customHeight="false" outlineLevel="0" collapsed="false">
      <c r="M505" s="4"/>
    </row>
    <row r="506" customFormat="false" ht="15.75" hidden="false" customHeight="false" outlineLevel="0" collapsed="false">
      <c r="M506" s="4"/>
    </row>
    <row r="507" customFormat="false" ht="15.75" hidden="false" customHeight="false" outlineLevel="0" collapsed="false">
      <c r="M507" s="4"/>
    </row>
    <row r="508" customFormat="false" ht="15.75" hidden="false" customHeight="false" outlineLevel="0" collapsed="false">
      <c r="M508" s="4"/>
    </row>
    <row r="509" customFormat="false" ht="15.75" hidden="false" customHeight="false" outlineLevel="0" collapsed="false">
      <c r="M509" s="4"/>
    </row>
    <row r="510" customFormat="false" ht="15.75" hidden="false" customHeight="false" outlineLevel="0" collapsed="false">
      <c r="M510" s="4"/>
    </row>
    <row r="511" customFormat="false" ht="15.75" hidden="false" customHeight="false" outlineLevel="0" collapsed="false">
      <c r="M511" s="4"/>
    </row>
    <row r="512" customFormat="false" ht="15.75" hidden="false" customHeight="false" outlineLevel="0" collapsed="false">
      <c r="M512" s="4"/>
    </row>
    <row r="513" customFormat="false" ht="15.75" hidden="false" customHeight="false" outlineLevel="0" collapsed="false">
      <c r="M513" s="4"/>
    </row>
    <row r="514" customFormat="false" ht="15.75" hidden="false" customHeight="false" outlineLevel="0" collapsed="false">
      <c r="M514" s="4"/>
    </row>
    <row r="515" customFormat="false" ht="15.75" hidden="false" customHeight="false" outlineLevel="0" collapsed="false">
      <c r="M515" s="4"/>
    </row>
    <row r="516" customFormat="false" ht="15.75" hidden="false" customHeight="false" outlineLevel="0" collapsed="false">
      <c r="M516" s="4"/>
    </row>
    <row r="517" customFormat="false" ht="15.75" hidden="false" customHeight="false" outlineLevel="0" collapsed="false">
      <c r="M517" s="4"/>
    </row>
    <row r="518" customFormat="false" ht="15.75" hidden="false" customHeight="false" outlineLevel="0" collapsed="false">
      <c r="M518" s="4"/>
    </row>
    <row r="519" customFormat="false" ht="15.75" hidden="false" customHeight="false" outlineLevel="0" collapsed="false">
      <c r="M519" s="4"/>
    </row>
    <row r="520" customFormat="false" ht="15.75" hidden="false" customHeight="false" outlineLevel="0" collapsed="false">
      <c r="M520" s="4"/>
    </row>
    <row r="521" customFormat="false" ht="15.75" hidden="false" customHeight="false" outlineLevel="0" collapsed="false">
      <c r="M521" s="4"/>
    </row>
    <row r="522" customFormat="false" ht="15.75" hidden="false" customHeight="false" outlineLevel="0" collapsed="false">
      <c r="M522" s="4"/>
    </row>
    <row r="523" customFormat="false" ht="15.75" hidden="false" customHeight="false" outlineLevel="0" collapsed="false">
      <c r="M523" s="4"/>
    </row>
    <row r="524" customFormat="false" ht="15.75" hidden="false" customHeight="false" outlineLevel="0" collapsed="false">
      <c r="M524" s="4"/>
    </row>
    <row r="525" customFormat="false" ht="15.75" hidden="false" customHeight="false" outlineLevel="0" collapsed="false">
      <c r="M525" s="4"/>
    </row>
    <row r="526" customFormat="false" ht="15.75" hidden="false" customHeight="false" outlineLevel="0" collapsed="false">
      <c r="M526" s="4"/>
    </row>
    <row r="527" customFormat="false" ht="15.75" hidden="false" customHeight="false" outlineLevel="0" collapsed="false">
      <c r="M527" s="4"/>
    </row>
    <row r="528" customFormat="false" ht="15.75" hidden="false" customHeight="false" outlineLevel="0" collapsed="false">
      <c r="M528" s="4"/>
    </row>
    <row r="529" customFormat="false" ht="15.75" hidden="false" customHeight="false" outlineLevel="0" collapsed="false">
      <c r="M529" s="4"/>
    </row>
    <row r="530" customFormat="false" ht="15.75" hidden="false" customHeight="false" outlineLevel="0" collapsed="false">
      <c r="M530" s="4"/>
    </row>
    <row r="531" customFormat="false" ht="15.75" hidden="false" customHeight="false" outlineLevel="0" collapsed="false">
      <c r="M531" s="4"/>
    </row>
    <row r="532" customFormat="false" ht="15.75" hidden="false" customHeight="false" outlineLevel="0" collapsed="false">
      <c r="M532" s="4"/>
    </row>
    <row r="533" customFormat="false" ht="15.75" hidden="false" customHeight="false" outlineLevel="0" collapsed="false">
      <c r="M533" s="4"/>
    </row>
    <row r="534" customFormat="false" ht="15.75" hidden="false" customHeight="false" outlineLevel="0" collapsed="false">
      <c r="M534" s="4"/>
    </row>
    <row r="535" customFormat="false" ht="15.75" hidden="false" customHeight="false" outlineLevel="0" collapsed="false">
      <c r="M535" s="4"/>
    </row>
    <row r="536" customFormat="false" ht="15.75" hidden="false" customHeight="false" outlineLevel="0" collapsed="false">
      <c r="M536" s="4"/>
    </row>
    <row r="537" customFormat="false" ht="15.75" hidden="false" customHeight="false" outlineLevel="0" collapsed="false">
      <c r="M537" s="4"/>
    </row>
    <row r="538" customFormat="false" ht="15.75" hidden="false" customHeight="false" outlineLevel="0" collapsed="false">
      <c r="M538" s="4"/>
    </row>
    <row r="539" customFormat="false" ht="15.75" hidden="false" customHeight="false" outlineLevel="0" collapsed="false">
      <c r="M539" s="4"/>
    </row>
    <row r="540" customFormat="false" ht="15.75" hidden="false" customHeight="false" outlineLevel="0" collapsed="false">
      <c r="M540" s="4"/>
    </row>
    <row r="541" customFormat="false" ht="15.75" hidden="false" customHeight="false" outlineLevel="0" collapsed="false">
      <c r="M541" s="4"/>
    </row>
    <row r="542" customFormat="false" ht="15.75" hidden="false" customHeight="false" outlineLevel="0" collapsed="false">
      <c r="M542" s="4"/>
    </row>
    <row r="543" customFormat="false" ht="15.75" hidden="false" customHeight="false" outlineLevel="0" collapsed="false">
      <c r="M543" s="4"/>
    </row>
    <row r="544" customFormat="false" ht="15.75" hidden="false" customHeight="false" outlineLevel="0" collapsed="false">
      <c r="M544" s="4"/>
    </row>
    <row r="545" customFormat="false" ht="15.75" hidden="false" customHeight="false" outlineLevel="0" collapsed="false">
      <c r="M545" s="4"/>
    </row>
    <row r="546" customFormat="false" ht="15.75" hidden="false" customHeight="false" outlineLevel="0" collapsed="false">
      <c r="M546" s="4"/>
    </row>
    <row r="547" customFormat="false" ht="15.75" hidden="false" customHeight="false" outlineLevel="0" collapsed="false">
      <c r="M547" s="4"/>
    </row>
    <row r="548" customFormat="false" ht="15.75" hidden="false" customHeight="false" outlineLevel="0" collapsed="false">
      <c r="M548" s="4"/>
    </row>
    <row r="549" customFormat="false" ht="15.75" hidden="false" customHeight="false" outlineLevel="0" collapsed="false">
      <c r="M549" s="4"/>
    </row>
    <row r="550" customFormat="false" ht="15.75" hidden="false" customHeight="false" outlineLevel="0" collapsed="false">
      <c r="M550" s="4"/>
    </row>
    <row r="551" customFormat="false" ht="15.75" hidden="false" customHeight="false" outlineLevel="0" collapsed="false">
      <c r="M551" s="4"/>
    </row>
    <row r="552" customFormat="false" ht="15.75" hidden="false" customHeight="false" outlineLevel="0" collapsed="false">
      <c r="M552" s="4"/>
    </row>
    <row r="553" customFormat="false" ht="15.75" hidden="false" customHeight="false" outlineLevel="0" collapsed="false">
      <c r="M553" s="4"/>
    </row>
    <row r="554" customFormat="false" ht="15.75" hidden="false" customHeight="false" outlineLevel="0" collapsed="false">
      <c r="M554" s="4"/>
    </row>
    <row r="555" customFormat="false" ht="15.75" hidden="false" customHeight="false" outlineLevel="0" collapsed="false">
      <c r="M555" s="4"/>
    </row>
    <row r="556" customFormat="false" ht="15.75" hidden="false" customHeight="false" outlineLevel="0" collapsed="false">
      <c r="M556" s="4"/>
    </row>
    <row r="557" customFormat="false" ht="15.75" hidden="false" customHeight="false" outlineLevel="0" collapsed="false">
      <c r="M557" s="4"/>
    </row>
    <row r="558" customFormat="false" ht="15.75" hidden="false" customHeight="false" outlineLevel="0" collapsed="false">
      <c r="M558" s="4"/>
    </row>
    <row r="559" customFormat="false" ht="15.75" hidden="false" customHeight="false" outlineLevel="0" collapsed="false">
      <c r="M559" s="4"/>
    </row>
    <row r="560" customFormat="false" ht="15.75" hidden="false" customHeight="false" outlineLevel="0" collapsed="false">
      <c r="M560" s="4"/>
    </row>
    <row r="561" customFormat="false" ht="15.75" hidden="false" customHeight="false" outlineLevel="0" collapsed="false">
      <c r="M561" s="4"/>
    </row>
    <row r="562" customFormat="false" ht="15.75" hidden="false" customHeight="false" outlineLevel="0" collapsed="false">
      <c r="M562" s="4"/>
    </row>
    <row r="563" customFormat="false" ht="15.75" hidden="false" customHeight="false" outlineLevel="0" collapsed="false">
      <c r="M563" s="4"/>
    </row>
    <row r="564" customFormat="false" ht="15.75" hidden="false" customHeight="false" outlineLevel="0" collapsed="false">
      <c r="M564" s="4"/>
    </row>
    <row r="565" customFormat="false" ht="15.75" hidden="false" customHeight="false" outlineLevel="0" collapsed="false">
      <c r="M565" s="4"/>
    </row>
    <row r="566" customFormat="false" ht="15.75" hidden="false" customHeight="false" outlineLevel="0" collapsed="false">
      <c r="M566" s="4"/>
    </row>
    <row r="567" customFormat="false" ht="15.75" hidden="false" customHeight="false" outlineLevel="0" collapsed="false">
      <c r="M567" s="4"/>
    </row>
    <row r="568" customFormat="false" ht="15.75" hidden="false" customHeight="false" outlineLevel="0" collapsed="false">
      <c r="M568" s="4"/>
    </row>
    <row r="569" customFormat="false" ht="15.75" hidden="false" customHeight="false" outlineLevel="0" collapsed="false">
      <c r="M569" s="4"/>
    </row>
    <row r="570" customFormat="false" ht="15.75" hidden="false" customHeight="false" outlineLevel="0" collapsed="false">
      <c r="M570" s="4"/>
    </row>
    <row r="571" customFormat="false" ht="15.75" hidden="false" customHeight="false" outlineLevel="0" collapsed="false">
      <c r="M571" s="4"/>
    </row>
    <row r="572" customFormat="false" ht="15.75" hidden="false" customHeight="false" outlineLevel="0" collapsed="false">
      <c r="M572" s="4"/>
    </row>
    <row r="573" customFormat="false" ht="15.75" hidden="false" customHeight="false" outlineLevel="0" collapsed="false">
      <c r="M573" s="4"/>
    </row>
    <row r="574" customFormat="false" ht="15.75" hidden="false" customHeight="false" outlineLevel="0" collapsed="false">
      <c r="M574" s="4"/>
    </row>
    <row r="575" customFormat="false" ht="15.75" hidden="false" customHeight="false" outlineLevel="0" collapsed="false">
      <c r="M575" s="4"/>
    </row>
    <row r="576" customFormat="false" ht="15.75" hidden="false" customHeight="false" outlineLevel="0" collapsed="false">
      <c r="M576" s="4"/>
    </row>
    <row r="577" customFormat="false" ht="15.75" hidden="false" customHeight="false" outlineLevel="0" collapsed="false">
      <c r="M577" s="4"/>
    </row>
    <row r="578" customFormat="false" ht="15.75" hidden="false" customHeight="false" outlineLevel="0" collapsed="false">
      <c r="M578" s="4"/>
    </row>
    <row r="579" customFormat="false" ht="15.75" hidden="false" customHeight="false" outlineLevel="0" collapsed="false">
      <c r="M579" s="4"/>
    </row>
    <row r="580" customFormat="false" ht="15.75" hidden="false" customHeight="false" outlineLevel="0" collapsed="false">
      <c r="M580" s="4"/>
    </row>
    <row r="581" customFormat="false" ht="15.75" hidden="false" customHeight="false" outlineLevel="0" collapsed="false">
      <c r="M581" s="4"/>
    </row>
    <row r="582" customFormat="false" ht="15.75" hidden="false" customHeight="false" outlineLevel="0" collapsed="false">
      <c r="M582" s="4"/>
    </row>
    <row r="583" customFormat="false" ht="15.75" hidden="false" customHeight="false" outlineLevel="0" collapsed="false">
      <c r="M583" s="4"/>
    </row>
    <row r="584" customFormat="false" ht="15.75" hidden="false" customHeight="false" outlineLevel="0" collapsed="false">
      <c r="M584" s="4"/>
    </row>
    <row r="585" customFormat="false" ht="15.75" hidden="false" customHeight="false" outlineLevel="0" collapsed="false">
      <c r="M585" s="4"/>
    </row>
    <row r="586" customFormat="false" ht="15.75" hidden="false" customHeight="false" outlineLevel="0" collapsed="false">
      <c r="M586" s="4"/>
    </row>
    <row r="587" customFormat="false" ht="15.75" hidden="false" customHeight="false" outlineLevel="0" collapsed="false">
      <c r="M587" s="4"/>
    </row>
    <row r="588" customFormat="false" ht="15.75" hidden="false" customHeight="false" outlineLevel="0" collapsed="false">
      <c r="M588" s="4"/>
    </row>
    <row r="589" customFormat="false" ht="15.75" hidden="false" customHeight="false" outlineLevel="0" collapsed="false">
      <c r="M589" s="4"/>
    </row>
    <row r="590" customFormat="false" ht="15.75" hidden="false" customHeight="false" outlineLevel="0" collapsed="false">
      <c r="M590" s="4"/>
    </row>
    <row r="591" customFormat="false" ht="15.75" hidden="false" customHeight="false" outlineLevel="0" collapsed="false">
      <c r="M591" s="4"/>
    </row>
    <row r="592" customFormat="false" ht="15.75" hidden="false" customHeight="false" outlineLevel="0" collapsed="false">
      <c r="M592" s="4"/>
    </row>
    <row r="593" customFormat="false" ht="15.75" hidden="false" customHeight="false" outlineLevel="0" collapsed="false">
      <c r="M593" s="4"/>
    </row>
    <row r="594" customFormat="false" ht="15.75" hidden="false" customHeight="false" outlineLevel="0" collapsed="false">
      <c r="M594" s="4"/>
    </row>
    <row r="595" customFormat="false" ht="15.75" hidden="false" customHeight="false" outlineLevel="0" collapsed="false">
      <c r="M595" s="4"/>
    </row>
    <row r="596" customFormat="false" ht="15.75" hidden="false" customHeight="false" outlineLevel="0" collapsed="false">
      <c r="M596" s="4"/>
    </row>
    <row r="597" customFormat="false" ht="15.75" hidden="false" customHeight="false" outlineLevel="0" collapsed="false">
      <c r="M597" s="4"/>
    </row>
    <row r="598" customFormat="false" ht="15.75" hidden="false" customHeight="false" outlineLevel="0" collapsed="false">
      <c r="M598" s="4"/>
    </row>
    <row r="599" customFormat="false" ht="15.75" hidden="false" customHeight="false" outlineLevel="0" collapsed="false">
      <c r="M599" s="4"/>
    </row>
    <row r="600" customFormat="false" ht="15.75" hidden="false" customHeight="false" outlineLevel="0" collapsed="false">
      <c r="M600" s="4"/>
    </row>
    <row r="601" customFormat="false" ht="15.75" hidden="false" customHeight="false" outlineLevel="0" collapsed="false">
      <c r="M601" s="4"/>
    </row>
    <row r="602" customFormat="false" ht="15.75" hidden="false" customHeight="false" outlineLevel="0" collapsed="false">
      <c r="M602" s="4"/>
    </row>
    <row r="603" customFormat="false" ht="15.75" hidden="false" customHeight="false" outlineLevel="0" collapsed="false">
      <c r="M603" s="4"/>
    </row>
    <row r="604" customFormat="false" ht="15.75" hidden="false" customHeight="false" outlineLevel="0" collapsed="false">
      <c r="M604" s="4"/>
    </row>
    <row r="605" customFormat="false" ht="15.75" hidden="false" customHeight="false" outlineLevel="0" collapsed="false">
      <c r="M605" s="4"/>
    </row>
    <row r="606" customFormat="false" ht="15.75" hidden="false" customHeight="false" outlineLevel="0" collapsed="false">
      <c r="M606" s="4"/>
    </row>
    <row r="607" customFormat="false" ht="15.75" hidden="false" customHeight="false" outlineLevel="0" collapsed="false">
      <c r="M607" s="4"/>
    </row>
    <row r="608" customFormat="false" ht="15.75" hidden="false" customHeight="false" outlineLevel="0" collapsed="false">
      <c r="M608" s="4"/>
    </row>
    <row r="609" customFormat="false" ht="15.75" hidden="false" customHeight="false" outlineLevel="0" collapsed="false">
      <c r="M609" s="4"/>
    </row>
    <row r="610" customFormat="false" ht="15.75" hidden="false" customHeight="false" outlineLevel="0" collapsed="false">
      <c r="M610" s="4"/>
    </row>
    <row r="611" customFormat="false" ht="15.75" hidden="false" customHeight="false" outlineLevel="0" collapsed="false">
      <c r="M611" s="4"/>
    </row>
    <row r="612" customFormat="false" ht="15.75" hidden="false" customHeight="false" outlineLevel="0" collapsed="false">
      <c r="M612" s="4"/>
    </row>
    <row r="613" customFormat="false" ht="15.75" hidden="false" customHeight="false" outlineLevel="0" collapsed="false">
      <c r="M613" s="4"/>
    </row>
    <row r="614" customFormat="false" ht="15.75" hidden="false" customHeight="false" outlineLevel="0" collapsed="false">
      <c r="M614" s="4"/>
    </row>
    <row r="615" customFormat="false" ht="15.75" hidden="false" customHeight="false" outlineLevel="0" collapsed="false">
      <c r="M615" s="4"/>
    </row>
    <row r="616" customFormat="false" ht="15.75" hidden="false" customHeight="false" outlineLevel="0" collapsed="false">
      <c r="M616" s="4"/>
    </row>
    <row r="617" customFormat="false" ht="15.75" hidden="false" customHeight="false" outlineLevel="0" collapsed="false">
      <c r="M617" s="4"/>
    </row>
    <row r="618" customFormat="false" ht="15.75" hidden="false" customHeight="false" outlineLevel="0" collapsed="false">
      <c r="M618" s="4"/>
    </row>
    <row r="619" customFormat="false" ht="15.75" hidden="false" customHeight="false" outlineLevel="0" collapsed="false">
      <c r="M619" s="4"/>
    </row>
    <row r="620" customFormat="false" ht="15.75" hidden="false" customHeight="false" outlineLevel="0" collapsed="false">
      <c r="M620" s="4"/>
    </row>
    <row r="621" customFormat="false" ht="15.75" hidden="false" customHeight="false" outlineLevel="0" collapsed="false">
      <c r="M621" s="4"/>
    </row>
    <row r="622" customFormat="false" ht="15.75" hidden="false" customHeight="false" outlineLevel="0" collapsed="false">
      <c r="M622" s="4"/>
    </row>
    <row r="623" customFormat="false" ht="15.75" hidden="false" customHeight="false" outlineLevel="0" collapsed="false">
      <c r="M623" s="4"/>
    </row>
    <row r="624" customFormat="false" ht="15.75" hidden="false" customHeight="false" outlineLevel="0" collapsed="false">
      <c r="M624" s="4"/>
    </row>
    <row r="625" customFormat="false" ht="15.75" hidden="false" customHeight="false" outlineLevel="0" collapsed="false">
      <c r="M625" s="4"/>
    </row>
    <row r="626" customFormat="false" ht="15.75" hidden="false" customHeight="false" outlineLevel="0" collapsed="false">
      <c r="M626" s="4"/>
    </row>
    <row r="627" customFormat="false" ht="15.75" hidden="false" customHeight="false" outlineLevel="0" collapsed="false">
      <c r="M627" s="4"/>
    </row>
    <row r="628" customFormat="false" ht="15.75" hidden="false" customHeight="false" outlineLevel="0" collapsed="false">
      <c r="M628" s="4"/>
    </row>
    <row r="629" customFormat="false" ht="15.75" hidden="false" customHeight="false" outlineLevel="0" collapsed="false">
      <c r="M629" s="4"/>
    </row>
    <row r="630" customFormat="false" ht="15.75" hidden="false" customHeight="false" outlineLevel="0" collapsed="false">
      <c r="M630" s="4"/>
    </row>
    <row r="631" customFormat="false" ht="15.75" hidden="false" customHeight="false" outlineLevel="0" collapsed="false">
      <c r="M631" s="4"/>
    </row>
    <row r="632" customFormat="false" ht="15.75" hidden="false" customHeight="false" outlineLevel="0" collapsed="false">
      <c r="M632" s="4"/>
    </row>
    <row r="633" customFormat="false" ht="15.75" hidden="false" customHeight="false" outlineLevel="0" collapsed="false">
      <c r="M633" s="4"/>
    </row>
    <row r="634" customFormat="false" ht="15.75" hidden="false" customHeight="false" outlineLevel="0" collapsed="false">
      <c r="M634" s="4"/>
    </row>
    <row r="635" customFormat="false" ht="15.75" hidden="false" customHeight="false" outlineLevel="0" collapsed="false">
      <c r="M635" s="4"/>
    </row>
    <row r="636" customFormat="false" ht="15.75" hidden="false" customHeight="false" outlineLevel="0" collapsed="false">
      <c r="M636" s="4"/>
    </row>
    <row r="637" customFormat="false" ht="15.75" hidden="false" customHeight="false" outlineLevel="0" collapsed="false">
      <c r="M637" s="4"/>
    </row>
    <row r="638" customFormat="false" ht="15.75" hidden="false" customHeight="false" outlineLevel="0" collapsed="false">
      <c r="M638" s="4"/>
    </row>
    <row r="639" customFormat="false" ht="15.75" hidden="false" customHeight="false" outlineLevel="0" collapsed="false">
      <c r="M639" s="4"/>
    </row>
    <row r="640" customFormat="false" ht="15.75" hidden="false" customHeight="false" outlineLevel="0" collapsed="false">
      <c r="M640" s="4"/>
    </row>
    <row r="641" customFormat="false" ht="15.75" hidden="false" customHeight="false" outlineLevel="0" collapsed="false">
      <c r="M641" s="4"/>
    </row>
    <row r="642" customFormat="false" ht="15.75" hidden="false" customHeight="false" outlineLevel="0" collapsed="false">
      <c r="M642" s="4"/>
    </row>
    <row r="643" customFormat="false" ht="15.75" hidden="false" customHeight="false" outlineLevel="0" collapsed="false">
      <c r="M643" s="4"/>
    </row>
    <row r="644" customFormat="false" ht="15.75" hidden="false" customHeight="false" outlineLevel="0" collapsed="false">
      <c r="M644" s="4"/>
    </row>
    <row r="645" customFormat="false" ht="15.75" hidden="false" customHeight="false" outlineLevel="0" collapsed="false">
      <c r="M645" s="4"/>
    </row>
    <row r="646" customFormat="false" ht="15.75" hidden="false" customHeight="false" outlineLevel="0" collapsed="false">
      <c r="M646" s="4"/>
    </row>
    <row r="647" customFormat="false" ht="15.75" hidden="false" customHeight="false" outlineLevel="0" collapsed="false">
      <c r="M647" s="4"/>
    </row>
    <row r="648" customFormat="false" ht="15.75" hidden="false" customHeight="false" outlineLevel="0" collapsed="false">
      <c r="M648" s="4"/>
    </row>
    <row r="649" customFormat="false" ht="15.75" hidden="false" customHeight="false" outlineLevel="0" collapsed="false">
      <c r="M649" s="4"/>
    </row>
    <row r="650" customFormat="false" ht="15.75" hidden="false" customHeight="false" outlineLevel="0" collapsed="false">
      <c r="M650" s="4"/>
    </row>
    <row r="651" customFormat="false" ht="15.75" hidden="false" customHeight="false" outlineLevel="0" collapsed="false">
      <c r="M651" s="4"/>
    </row>
    <row r="652" customFormat="false" ht="15.75" hidden="false" customHeight="false" outlineLevel="0" collapsed="false">
      <c r="M652" s="4"/>
    </row>
    <row r="653" customFormat="false" ht="15.75" hidden="false" customHeight="false" outlineLevel="0" collapsed="false">
      <c r="M653" s="4"/>
    </row>
    <row r="654" customFormat="false" ht="15.75" hidden="false" customHeight="false" outlineLevel="0" collapsed="false">
      <c r="M654" s="4"/>
    </row>
    <row r="655" customFormat="false" ht="15.75" hidden="false" customHeight="false" outlineLevel="0" collapsed="false">
      <c r="M655" s="4"/>
    </row>
    <row r="656" customFormat="false" ht="15.75" hidden="false" customHeight="false" outlineLevel="0" collapsed="false">
      <c r="M656" s="4"/>
    </row>
    <row r="657" customFormat="false" ht="15.75" hidden="false" customHeight="false" outlineLevel="0" collapsed="false">
      <c r="M657" s="4"/>
    </row>
    <row r="658" customFormat="false" ht="15.75" hidden="false" customHeight="false" outlineLevel="0" collapsed="false">
      <c r="M658" s="4"/>
    </row>
    <row r="659" customFormat="false" ht="15.75" hidden="false" customHeight="false" outlineLevel="0" collapsed="false">
      <c r="M659" s="4"/>
    </row>
    <row r="660" customFormat="false" ht="15.75" hidden="false" customHeight="false" outlineLevel="0" collapsed="false">
      <c r="M660" s="4"/>
    </row>
    <row r="661" customFormat="false" ht="15.75" hidden="false" customHeight="false" outlineLevel="0" collapsed="false">
      <c r="M661" s="4"/>
    </row>
    <row r="662" customFormat="false" ht="15.75" hidden="false" customHeight="false" outlineLevel="0" collapsed="false">
      <c r="M662" s="4"/>
    </row>
    <row r="663" customFormat="false" ht="15.75" hidden="false" customHeight="false" outlineLevel="0" collapsed="false">
      <c r="M663" s="4"/>
    </row>
    <row r="664" customFormat="false" ht="15.75" hidden="false" customHeight="false" outlineLevel="0" collapsed="false">
      <c r="M664" s="4"/>
    </row>
    <row r="665" customFormat="false" ht="15.75" hidden="false" customHeight="false" outlineLevel="0" collapsed="false">
      <c r="M665" s="4"/>
    </row>
    <row r="666" customFormat="false" ht="15.75" hidden="false" customHeight="false" outlineLevel="0" collapsed="false">
      <c r="M666" s="4"/>
    </row>
    <row r="667" customFormat="false" ht="15.75" hidden="false" customHeight="false" outlineLevel="0" collapsed="false">
      <c r="M667" s="4"/>
    </row>
    <row r="668" customFormat="false" ht="15.75" hidden="false" customHeight="false" outlineLevel="0" collapsed="false">
      <c r="M668" s="4"/>
    </row>
    <row r="669" customFormat="false" ht="15.75" hidden="false" customHeight="false" outlineLevel="0" collapsed="false">
      <c r="M669" s="4"/>
    </row>
    <row r="670" customFormat="false" ht="15.75" hidden="false" customHeight="false" outlineLevel="0" collapsed="false">
      <c r="M670" s="4"/>
    </row>
    <row r="671" customFormat="false" ht="15.75" hidden="false" customHeight="false" outlineLevel="0" collapsed="false">
      <c r="M671" s="4"/>
    </row>
    <row r="672" customFormat="false" ht="15.75" hidden="false" customHeight="false" outlineLevel="0" collapsed="false">
      <c r="M672" s="4"/>
    </row>
    <row r="673" customFormat="false" ht="15.75" hidden="false" customHeight="false" outlineLevel="0" collapsed="false">
      <c r="M673" s="4"/>
    </row>
    <row r="674" customFormat="false" ht="15.75" hidden="false" customHeight="false" outlineLevel="0" collapsed="false">
      <c r="M674" s="4"/>
    </row>
    <row r="675" customFormat="false" ht="15.75" hidden="false" customHeight="false" outlineLevel="0" collapsed="false">
      <c r="M675" s="4"/>
    </row>
    <row r="676" customFormat="false" ht="15.75" hidden="false" customHeight="false" outlineLevel="0" collapsed="false">
      <c r="M676" s="4"/>
    </row>
    <row r="677" customFormat="false" ht="15.75" hidden="false" customHeight="false" outlineLevel="0" collapsed="false">
      <c r="M677" s="4"/>
    </row>
    <row r="678" customFormat="false" ht="15.75" hidden="false" customHeight="false" outlineLevel="0" collapsed="false">
      <c r="M678" s="4"/>
    </row>
    <row r="679" customFormat="false" ht="15.75" hidden="false" customHeight="false" outlineLevel="0" collapsed="false">
      <c r="M679" s="4"/>
    </row>
    <row r="680" customFormat="false" ht="15.75" hidden="false" customHeight="false" outlineLevel="0" collapsed="false">
      <c r="M680" s="4"/>
    </row>
    <row r="681" customFormat="false" ht="15.75" hidden="false" customHeight="false" outlineLevel="0" collapsed="false">
      <c r="M681" s="4"/>
    </row>
    <row r="682" customFormat="false" ht="15.75" hidden="false" customHeight="false" outlineLevel="0" collapsed="false">
      <c r="M682" s="4"/>
    </row>
    <row r="683" customFormat="false" ht="15.75" hidden="false" customHeight="false" outlineLevel="0" collapsed="false">
      <c r="M683" s="4"/>
    </row>
    <row r="684" customFormat="false" ht="15.75" hidden="false" customHeight="false" outlineLevel="0" collapsed="false">
      <c r="M684" s="4"/>
    </row>
    <row r="685" customFormat="false" ht="15.75" hidden="false" customHeight="false" outlineLevel="0" collapsed="false">
      <c r="M685" s="4"/>
    </row>
    <row r="686" customFormat="false" ht="15.75" hidden="false" customHeight="false" outlineLevel="0" collapsed="false">
      <c r="M686" s="4"/>
    </row>
    <row r="687" customFormat="false" ht="15.75" hidden="false" customHeight="false" outlineLevel="0" collapsed="false">
      <c r="M687" s="4"/>
    </row>
    <row r="688" customFormat="false" ht="15.75" hidden="false" customHeight="false" outlineLevel="0" collapsed="false">
      <c r="M688" s="4"/>
    </row>
    <row r="689" customFormat="false" ht="15.75" hidden="false" customHeight="false" outlineLevel="0" collapsed="false">
      <c r="M689" s="4"/>
    </row>
    <row r="690" customFormat="false" ht="15.75" hidden="false" customHeight="false" outlineLevel="0" collapsed="false">
      <c r="M690" s="4"/>
    </row>
    <row r="691" customFormat="false" ht="15.75" hidden="false" customHeight="false" outlineLevel="0" collapsed="false">
      <c r="M691" s="4"/>
    </row>
    <row r="692" customFormat="false" ht="15.75" hidden="false" customHeight="false" outlineLevel="0" collapsed="false">
      <c r="M692" s="4"/>
    </row>
    <row r="693" customFormat="false" ht="15.75" hidden="false" customHeight="false" outlineLevel="0" collapsed="false">
      <c r="M693" s="4"/>
    </row>
    <row r="694" customFormat="false" ht="15.75" hidden="false" customHeight="false" outlineLevel="0" collapsed="false">
      <c r="M694" s="4"/>
    </row>
    <row r="695" customFormat="false" ht="15.75" hidden="false" customHeight="false" outlineLevel="0" collapsed="false">
      <c r="M695" s="4"/>
    </row>
    <row r="696" customFormat="false" ht="15.75" hidden="false" customHeight="false" outlineLevel="0" collapsed="false">
      <c r="M696" s="4"/>
    </row>
    <row r="697" customFormat="false" ht="15.75" hidden="false" customHeight="false" outlineLevel="0" collapsed="false">
      <c r="M697" s="4"/>
    </row>
    <row r="698" customFormat="false" ht="15.75" hidden="false" customHeight="false" outlineLevel="0" collapsed="false">
      <c r="M698" s="4"/>
    </row>
    <row r="699" customFormat="false" ht="15.75" hidden="false" customHeight="false" outlineLevel="0" collapsed="false">
      <c r="M699" s="4"/>
    </row>
    <row r="700" customFormat="false" ht="15.75" hidden="false" customHeight="false" outlineLevel="0" collapsed="false">
      <c r="M700" s="4"/>
    </row>
    <row r="701" customFormat="false" ht="15.75" hidden="false" customHeight="false" outlineLevel="0" collapsed="false">
      <c r="M701" s="4"/>
    </row>
    <row r="702" customFormat="false" ht="15.75" hidden="false" customHeight="false" outlineLevel="0" collapsed="false">
      <c r="M702" s="4"/>
    </row>
    <row r="703" customFormat="false" ht="15.75" hidden="false" customHeight="false" outlineLevel="0" collapsed="false">
      <c r="M703" s="4"/>
    </row>
    <row r="704" customFormat="false" ht="15.75" hidden="false" customHeight="false" outlineLevel="0" collapsed="false">
      <c r="M704" s="4"/>
    </row>
    <row r="705" customFormat="false" ht="15.75" hidden="false" customHeight="false" outlineLevel="0" collapsed="false">
      <c r="M705" s="4"/>
    </row>
    <row r="706" customFormat="false" ht="15.75" hidden="false" customHeight="false" outlineLevel="0" collapsed="false">
      <c r="M706" s="4"/>
    </row>
    <row r="707" customFormat="false" ht="15.75" hidden="false" customHeight="false" outlineLevel="0" collapsed="false">
      <c r="M707" s="4"/>
    </row>
    <row r="708" customFormat="false" ht="15.75" hidden="false" customHeight="false" outlineLevel="0" collapsed="false">
      <c r="M708" s="4"/>
    </row>
    <row r="709" customFormat="false" ht="15.75" hidden="false" customHeight="false" outlineLevel="0" collapsed="false">
      <c r="M709" s="4"/>
    </row>
    <row r="710" customFormat="false" ht="15.75" hidden="false" customHeight="false" outlineLevel="0" collapsed="false">
      <c r="M710" s="4"/>
    </row>
    <row r="711" customFormat="false" ht="15.75" hidden="false" customHeight="false" outlineLevel="0" collapsed="false">
      <c r="M711" s="4"/>
    </row>
    <row r="712" customFormat="false" ht="15.75" hidden="false" customHeight="false" outlineLevel="0" collapsed="false">
      <c r="M712" s="4"/>
    </row>
    <row r="713" customFormat="false" ht="15.75" hidden="false" customHeight="false" outlineLevel="0" collapsed="false">
      <c r="M713" s="4"/>
    </row>
    <row r="714" customFormat="false" ht="15.75" hidden="false" customHeight="false" outlineLevel="0" collapsed="false">
      <c r="M714" s="4"/>
    </row>
    <row r="715" customFormat="false" ht="15.75" hidden="false" customHeight="false" outlineLevel="0" collapsed="false">
      <c r="M715" s="4"/>
    </row>
    <row r="716" customFormat="false" ht="15.75" hidden="false" customHeight="false" outlineLevel="0" collapsed="false">
      <c r="M716" s="4"/>
    </row>
    <row r="717" customFormat="false" ht="15.75" hidden="false" customHeight="false" outlineLevel="0" collapsed="false">
      <c r="M717" s="4"/>
    </row>
    <row r="718" customFormat="false" ht="15.75" hidden="false" customHeight="false" outlineLevel="0" collapsed="false">
      <c r="M718" s="4"/>
    </row>
    <row r="719" customFormat="false" ht="15.75" hidden="false" customHeight="false" outlineLevel="0" collapsed="false">
      <c r="M719" s="4"/>
    </row>
    <row r="720" customFormat="false" ht="15.75" hidden="false" customHeight="false" outlineLevel="0" collapsed="false">
      <c r="M720" s="4"/>
    </row>
    <row r="721" customFormat="false" ht="15.75" hidden="false" customHeight="false" outlineLevel="0" collapsed="false">
      <c r="M721" s="4"/>
    </row>
    <row r="722" customFormat="false" ht="15.75" hidden="false" customHeight="false" outlineLevel="0" collapsed="false">
      <c r="M722" s="4"/>
    </row>
    <row r="723" customFormat="false" ht="15.75" hidden="false" customHeight="false" outlineLevel="0" collapsed="false">
      <c r="M723" s="4"/>
    </row>
    <row r="724" customFormat="false" ht="15.75" hidden="false" customHeight="false" outlineLevel="0" collapsed="false">
      <c r="M724" s="4"/>
    </row>
    <row r="725" customFormat="false" ht="15.75" hidden="false" customHeight="false" outlineLevel="0" collapsed="false">
      <c r="M725" s="4"/>
    </row>
    <row r="726" customFormat="false" ht="15.75" hidden="false" customHeight="false" outlineLevel="0" collapsed="false">
      <c r="M726" s="4"/>
    </row>
    <row r="727" customFormat="false" ht="15.75" hidden="false" customHeight="false" outlineLevel="0" collapsed="false">
      <c r="M727" s="4"/>
    </row>
    <row r="728" customFormat="false" ht="15.75" hidden="false" customHeight="false" outlineLevel="0" collapsed="false">
      <c r="M728" s="4"/>
    </row>
    <row r="729" customFormat="false" ht="15.75" hidden="false" customHeight="false" outlineLevel="0" collapsed="false">
      <c r="M729" s="4"/>
    </row>
    <row r="730" customFormat="false" ht="15.75" hidden="false" customHeight="false" outlineLevel="0" collapsed="false">
      <c r="M730" s="4"/>
    </row>
    <row r="731" customFormat="false" ht="15.75" hidden="false" customHeight="false" outlineLevel="0" collapsed="false">
      <c r="M731" s="4"/>
    </row>
    <row r="732" customFormat="false" ht="15.75" hidden="false" customHeight="false" outlineLevel="0" collapsed="false">
      <c r="M732" s="4"/>
    </row>
    <row r="733" customFormat="false" ht="15.75" hidden="false" customHeight="false" outlineLevel="0" collapsed="false">
      <c r="M733" s="4"/>
    </row>
    <row r="734" customFormat="false" ht="15.75" hidden="false" customHeight="false" outlineLevel="0" collapsed="false">
      <c r="M734" s="4"/>
    </row>
    <row r="735" customFormat="false" ht="15.75" hidden="false" customHeight="false" outlineLevel="0" collapsed="false">
      <c r="M735" s="4"/>
    </row>
    <row r="736" customFormat="false" ht="15.75" hidden="false" customHeight="false" outlineLevel="0" collapsed="false">
      <c r="M736" s="4"/>
    </row>
    <row r="737" customFormat="false" ht="15.75" hidden="false" customHeight="false" outlineLevel="0" collapsed="false">
      <c r="M737" s="4"/>
    </row>
    <row r="738" customFormat="false" ht="15.75" hidden="false" customHeight="false" outlineLevel="0" collapsed="false">
      <c r="M738" s="4"/>
    </row>
    <row r="739" customFormat="false" ht="15.75" hidden="false" customHeight="false" outlineLevel="0" collapsed="false">
      <c r="M739" s="4"/>
    </row>
    <row r="740" customFormat="false" ht="15.75" hidden="false" customHeight="false" outlineLevel="0" collapsed="false">
      <c r="M740" s="4"/>
    </row>
    <row r="741" customFormat="false" ht="15.75" hidden="false" customHeight="false" outlineLevel="0" collapsed="false">
      <c r="M741" s="4"/>
    </row>
    <row r="742" customFormat="false" ht="15.75" hidden="false" customHeight="false" outlineLevel="0" collapsed="false">
      <c r="M742" s="4"/>
    </row>
    <row r="743" customFormat="false" ht="15.75" hidden="false" customHeight="false" outlineLevel="0" collapsed="false">
      <c r="M743" s="4"/>
    </row>
    <row r="744" customFormat="false" ht="15.75" hidden="false" customHeight="false" outlineLevel="0" collapsed="false">
      <c r="M744" s="4"/>
    </row>
    <row r="745" customFormat="false" ht="15.75" hidden="false" customHeight="false" outlineLevel="0" collapsed="false">
      <c r="M745" s="4"/>
    </row>
    <row r="746" customFormat="false" ht="15.75" hidden="false" customHeight="false" outlineLevel="0" collapsed="false">
      <c r="M746" s="4"/>
    </row>
    <row r="747" customFormat="false" ht="15.75" hidden="false" customHeight="false" outlineLevel="0" collapsed="false">
      <c r="M747" s="4"/>
    </row>
    <row r="748" customFormat="false" ht="15.75" hidden="false" customHeight="false" outlineLevel="0" collapsed="false">
      <c r="M748" s="4"/>
    </row>
    <row r="749" customFormat="false" ht="15.75" hidden="false" customHeight="false" outlineLevel="0" collapsed="false">
      <c r="M749" s="4"/>
    </row>
    <row r="750" customFormat="false" ht="15.75" hidden="false" customHeight="false" outlineLevel="0" collapsed="false">
      <c r="M750" s="4"/>
    </row>
    <row r="751" customFormat="false" ht="15.75" hidden="false" customHeight="false" outlineLevel="0" collapsed="false">
      <c r="M751" s="4"/>
    </row>
    <row r="752" customFormat="false" ht="15.75" hidden="false" customHeight="false" outlineLevel="0" collapsed="false">
      <c r="M752" s="4"/>
    </row>
    <row r="753" customFormat="false" ht="15.75" hidden="false" customHeight="false" outlineLevel="0" collapsed="false">
      <c r="M753" s="4"/>
    </row>
    <row r="754" customFormat="false" ht="15.75" hidden="false" customHeight="false" outlineLevel="0" collapsed="false">
      <c r="M754" s="4"/>
    </row>
    <row r="755" customFormat="false" ht="15.75" hidden="false" customHeight="false" outlineLevel="0" collapsed="false">
      <c r="M755" s="4"/>
    </row>
    <row r="756" customFormat="false" ht="15.75" hidden="false" customHeight="false" outlineLevel="0" collapsed="false">
      <c r="M756" s="4"/>
    </row>
    <row r="757" customFormat="false" ht="15.75" hidden="false" customHeight="false" outlineLevel="0" collapsed="false">
      <c r="M757" s="4"/>
    </row>
    <row r="758" customFormat="false" ht="15.75" hidden="false" customHeight="false" outlineLevel="0" collapsed="false">
      <c r="M758" s="4"/>
    </row>
    <row r="759" customFormat="false" ht="15.75" hidden="false" customHeight="false" outlineLevel="0" collapsed="false">
      <c r="M759" s="4"/>
    </row>
    <row r="760" customFormat="false" ht="15.75" hidden="false" customHeight="false" outlineLevel="0" collapsed="false">
      <c r="M760" s="4"/>
    </row>
    <row r="761" customFormat="false" ht="15.75" hidden="false" customHeight="false" outlineLevel="0" collapsed="false">
      <c r="M761" s="4"/>
    </row>
    <row r="762" customFormat="false" ht="15.75" hidden="false" customHeight="false" outlineLevel="0" collapsed="false">
      <c r="M762" s="4"/>
    </row>
    <row r="763" customFormat="false" ht="15.75" hidden="false" customHeight="false" outlineLevel="0" collapsed="false">
      <c r="M763" s="4"/>
    </row>
    <row r="764" customFormat="false" ht="15.75" hidden="false" customHeight="false" outlineLevel="0" collapsed="false">
      <c r="M764" s="4"/>
    </row>
    <row r="765" customFormat="false" ht="15.75" hidden="false" customHeight="false" outlineLevel="0" collapsed="false">
      <c r="M765" s="4"/>
    </row>
    <row r="766" customFormat="false" ht="15.75" hidden="false" customHeight="false" outlineLevel="0" collapsed="false">
      <c r="M766" s="4"/>
    </row>
    <row r="767" customFormat="false" ht="15.75" hidden="false" customHeight="false" outlineLevel="0" collapsed="false">
      <c r="M767" s="4"/>
    </row>
    <row r="768" customFormat="false" ht="15.75" hidden="false" customHeight="false" outlineLevel="0" collapsed="false">
      <c r="M768" s="4"/>
    </row>
    <row r="769" customFormat="false" ht="15.75" hidden="false" customHeight="false" outlineLevel="0" collapsed="false">
      <c r="M769" s="4"/>
    </row>
    <row r="770" customFormat="false" ht="15.75" hidden="false" customHeight="false" outlineLevel="0" collapsed="false">
      <c r="M770" s="4"/>
    </row>
    <row r="771" customFormat="false" ht="15.75" hidden="false" customHeight="false" outlineLevel="0" collapsed="false">
      <c r="M771" s="4"/>
    </row>
    <row r="772" customFormat="false" ht="15.75" hidden="false" customHeight="false" outlineLevel="0" collapsed="false">
      <c r="M772" s="4"/>
    </row>
    <row r="773" customFormat="false" ht="15.75" hidden="false" customHeight="false" outlineLevel="0" collapsed="false">
      <c r="M773" s="4"/>
    </row>
    <row r="774" customFormat="false" ht="15.75" hidden="false" customHeight="false" outlineLevel="0" collapsed="false">
      <c r="M774" s="4"/>
    </row>
    <row r="775" customFormat="false" ht="15.75" hidden="false" customHeight="false" outlineLevel="0" collapsed="false">
      <c r="M775" s="4"/>
    </row>
    <row r="776" customFormat="false" ht="15.75" hidden="false" customHeight="false" outlineLevel="0" collapsed="false">
      <c r="M776" s="4"/>
    </row>
    <row r="777" customFormat="false" ht="15.75" hidden="false" customHeight="false" outlineLevel="0" collapsed="false">
      <c r="M777" s="4"/>
    </row>
    <row r="778" customFormat="false" ht="15.75" hidden="false" customHeight="false" outlineLevel="0" collapsed="false">
      <c r="M778" s="4"/>
    </row>
    <row r="779" customFormat="false" ht="15.75" hidden="false" customHeight="false" outlineLevel="0" collapsed="false">
      <c r="M779" s="4"/>
    </row>
    <row r="780" customFormat="false" ht="15.75" hidden="false" customHeight="false" outlineLevel="0" collapsed="false">
      <c r="M780" s="4"/>
    </row>
    <row r="781" customFormat="false" ht="15.75" hidden="false" customHeight="false" outlineLevel="0" collapsed="false">
      <c r="M781" s="4"/>
    </row>
    <row r="782" customFormat="false" ht="15.75" hidden="false" customHeight="false" outlineLevel="0" collapsed="false">
      <c r="M782" s="4"/>
    </row>
    <row r="783" customFormat="false" ht="15.75" hidden="false" customHeight="false" outlineLevel="0" collapsed="false">
      <c r="M783" s="4"/>
    </row>
    <row r="784" customFormat="false" ht="15.75" hidden="false" customHeight="false" outlineLevel="0" collapsed="false">
      <c r="M784" s="4"/>
    </row>
    <row r="785" customFormat="false" ht="15.75" hidden="false" customHeight="false" outlineLevel="0" collapsed="false">
      <c r="M785" s="4"/>
    </row>
    <row r="786" customFormat="false" ht="15.75" hidden="false" customHeight="false" outlineLevel="0" collapsed="false">
      <c r="M786" s="4"/>
    </row>
    <row r="787" customFormat="false" ht="15.75" hidden="false" customHeight="false" outlineLevel="0" collapsed="false">
      <c r="M787" s="4"/>
    </row>
    <row r="788" customFormat="false" ht="15.75" hidden="false" customHeight="false" outlineLevel="0" collapsed="false">
      <c r="M788" s="4"/>
    </row>
    <row r="789" customFormat="false" ht="15.75" hidden="false" customHeight="false" outlineLevel="0" collapsed="false">
      <c r="M789" s="4"/>
    </row>
    <row r="790" customFormat="false" ht="15.75" hidden="false" customHeight="false" outlineLevel="0" collapsed="false">
      <c r="M790" s="4"/>
    </row>
    <row r="791" customFormat="false" ht="15.75" hidden="false" customHeight="false" outlineLevel="0" collapsed="false">
      <c r="M791" s="4"/>
    </row>
    <row r="792" customFormat="false" ht="15.75" hidden="false" customHeight="false" outlineLevel="0" collapsed="false">
      <c r="M792" s="4"/>
    </row>
    <row r="793" customFormat="false" ht="15.75" hidden="false" customHeight="false" outlineLevel="0" collapsed="false">
      <c r="M793" s="4"/>
    </row>
    <row r="794" customFormat="false" ht="15.75" hidden="false" customHeight="false" outlineLevel="0" collapsed="false">
      <c r="M794" s="4"/>
    </row>
    <row r="795" customFormat="false" ht="15.75" hidden="false" customHeight="false" outlineLevel="0" collapsed="false">
      <c r="M795" s="4"/>
    </row>
    <row r="796" customFormat="false" ht="15.75" hidden="false" customHeight="false" outlineLevel="0" collapsed="false">
      <c r="M796" s="4"/>
    </row>
    <row r="797" customFormat="false" ht="15.75" hidden="false" customHeight="false" outlineLevel="0" collapsed="false">
      <c r="M797" s="4"/>
    </row>
    <row r="798" customFormat="false" ht="15.75" hidden="false" customHeight="false" outlineLevel="0" collapsed="false">
      <c r="M798" s="4"/>
    </row>
    <row r="799" customFormat="false" ht="15.75" hidden="false" customHeight="false" outlineLevel="0" collapsed="false">
      <c r="M799" s="4"/>
    </row>
    <row r="800" customFormat="false" ht="15.75" hidden="false" customHeight="false" outlineLevel="0" collapsed="false">
      <c r="M800" s="4"/>
    </row>
    <row r="801" customFormat="false" ht="15.75" hidden="false" customHeight="false" outlineLevel="0" collapsed="false">
      <c r="M801" s="4"/>
    </row>
    <row r="802" customFormat="false" ht="15.75" hidden="false" customHeight="false" outlineLevel="0" collapsed="false">
      <c r="M802" s="4"/>
    </row>
    <row r="803" customFormat="false" ht="15.75" hidden="false" customHeight="false" outlineLevel="0" collapsed="false">
      <c r="M803" s="4"/>
    </row>
    <row r="804" customFormat="false" ht="15.75" hidden="false" customHeight="false" outlineLevel="0" collapsed="false">
      <c r="M804" s="4"/>
    </row>
    <row r="805" customFormat="false" ht="15.75" hidden="false" customHeight="false" outlineLevel="0" collapsed="false">
      <c r="M805" s="4"/>
    </row>
    <row r="806" customFormat="false" ht="15.75" hidden="false" customHeight="false" outlineLevel="0" collapsed="false">
      <c r="M806" s="4"/>
    </row>
    <row r="807" customFormat="false" ht="15.75" hidden="false" customHeight="false" outlineLevel="0" collapsed="false">
      <c r="M807" s="4"/>
    </row>
    <row r="808" customFormat="false" ht="15.75" hidden="false" customHeight="false" outlineLevel="0" collapsed="false">
      <c r="M808" s="4"/>
    </row>
    <row r="809" customFormat="false" ht="15.75" hidden="false" customHeight="false" outlineLevel="0" collapsed="false">
      <c r="M809" s="4"/>
    </row>
    <row r="810" customFormat="false" ht="15.75" hidden="false" customHeight="false" outlineLevel="0" collapsed="false">
      <c r="M810" s="4"/>
    </row>
    <row r="811" customFormat="false" ht="15.75" hidden="false" customHeight="false" outlineLevel="0" collapsed="false">
      <c r="M811" s="4"/>
    </row>
    <row r="812" customFormat="false" ht="15.75" hidden="false" customHeight="false" outlineLevel="0" collapsed="false">
      <c r="M812" s="4"/>
    </row>
    <row r="813" customFormat="false" ht="15.75" hidden="false" customHeight="false" outlineLevel="0" collapsed="false">
      <c r="M813" s="4"/>
    </row>
    <row r="814" customFormat="false" ht="15.75" hidden="false" customHeight="false" outlineLevel="0" collapsed="false">
      <c r="M814" s="4"/>
    </row>
    <row r="815" customFormat="false" ht="15.75" hidden="false" customHeight="false" outlineLevel="0" collapsed="false">
      <c r="M815" s="4"/>
    </row>
    <row r="816" customFormat="false" ht="15.75" hidden="false" customHeight="false" outlineLevel="0" collapsed="false">
      <c r="M816" s="4"/>
    </row>
    <row r="817" customFormat="false" ht="15.75" hidden="false" customHeight="false" outlineLevel="0" collapsed="false">
      <c r="M817" s="4"/>
    </row>
    <row r="818" customFormat="false" ht="15.75" hidden="false" customHeight="false" outlineLevel="0" collapsed="false">
      <c r="M818" s="4"/>
    </row>
    <row r="819" customFormat="false" ht="15.75" hidden="false" customHeight="false" outlineLevel="0" collapsed="false">
      <c r="M819" s="4"/>
    </row>
    <row r="820" customFormat="false" ht="15.75" hidden="false" customHeight="false" outlineLevel="0" collapsed="false">
      <c r="M820" s="4"/>
    </row>
    <row r="821" customFormat="false" ht="15.75" hidden="false" customHeight="false" outlineLevel="0" collapsed="false">
      <c r="M821" s="4"/>
    </row>
    <row r="822" customFormat="false" ht="15.75" hidden="false" customHeight="false" outlineLevel="0" collapsed="false">
      <c r="M822" s="4"/>
    </row>
    <row r="823" customFormat="false" ht="15.75" hidden="false" customHeight="false" outlineLevel="0" collapsed="false">
      <c r="M823" s="4"/>
    </row>
    <row r="824" customFormat="false" ht="15.75" hidden="false" customHeight="false" outlineLevel="0" collapsed="false">
      <c r="M824" s="4"/>
    </row>
    <row r="825" customFormat="false" ht="15.75" hidden="false" customHeight="false" outlineLevel="0" collapsed="false">
      <c r="M825" s="4"/>
    </row>
    <row r="826" customFormat="false" ht="15.75" hidden="false" customHeight="false" outlineLevel="0" collapsed="false">
      <c r="M826" s="4"/>
    </row>
    <row r="827" customFormat="false" ht="15.75" hidden="false" customHeight="false" outlineLevel="0" collapsed="false">
      <c r="M827" s="4"/>
    </row>
    <row r="828" customFormat="false" ht="15.75" hidden="false" customHeight="false" outlineLevel="0" collapsed="false">
      <c r="M828" s="4"/>
    </row>
    <row r="829" customFormat="false" ht="15.75" hidden="false" customHeight="false" outlineLevel="0" collapsed="false">
      <c r="M829" s="4"/>
    </row>
    <row r="830" customFormat="false" ht="15.75" hidden="false" customHeight="false" outlineLevel="0" collapsed="false">
      <c r="M830" s="4"/>
    </row>
    <row r="831" customFormat="false" ht="15.75" hidden="false" customHeight="false" outlineLevel="0" collapsed="false">
      <c r="M831" s="4"/>
    </row>
    <row r="832" customFormat="false" ht="15.75" hidden="false" customHeight="false" outlineLevel="0" collapsed="false">
      <c r="M832" s="4"/>
    </row>
    <row r="833" customFormat="false" ht="15.75" hidden="false" customHeight="false" outlineLevel="0" collapsed="false">
      <c r="M833" s="4"/>
    </row>
    <row r="834" customFormat="false" ht="15.75" hidden="false" customHeight="false" outlineLevel="0" collapsed="false">
      <c r="M834" s="4"/>
    </row>
    <row r="835" customFormat="false" ht="15.75" hidden="false" customHeight="false" outlineLevel="0" collapsed="false">
      <c r="M835" s="4"/>
    </row>
    <row r="836" customFormat="false" ht="15.75" hidden="false" customHeight="false" outlineLevel="0" collapsed="false">
      <c r="M836" s="4"/>
    </row>
    <row r="837" customFormat="false" ht="15.75" hidden="false" customHeight="false" outlineLevel="0" collapsed="false">
      <c r="M837" s="4"/>
    </row>
    <row r="838" customFormat="false" ht="15.75" hidden="false" customHeight="false" outlineLevel="0" collapsed="false">
      <c r="M838" s="4"/>
    </row>
    <row r="839" customFormat="false" ht="15.75" hidden="false" customHeight="false" outlineLevel="0" collapsed="false">
      <c r="M839" s="4"/>
    </row>
    <row r="840" customFormat="false" ht="15.75" hidden="false" customHeight="false" outlineLevel="0" collapsed="false">
      <c r="M840" s="4"/>
    </row>
    <row r="841" customFormat="false" ht="15.75" hidden="false" customHeight="false" outlineLevel="0" collapsed="false">
      <c r="M841" s="4"/>
    </row>
    <row r="842" customFormat="false" ht="15.75" hidden="false" customHeight="false" outlineLevel="0" collapsed="false">
      <c r="M842" s="4"/>
    </row>
    <row r="843" customFormat="false" ht="15.75" hidden="false" customHeight="false" outlineLevel="0" collapsed="false">
      <c r="M843" s="4"/>
    </row>
    <row r="844" customFormat="false" ht="15.75" hidden="false" customHeight="false" outlineLevel="0" collapsed="false">
      <c r="M844" s="4"/>
    </row>
    <row r="845" customFormat="false" ht="15.75" hidden="false" customHeight="false" outlineLevel="0" collapsed="false">
      <c r="M845" s="4"/>
    </row>
    <row r="846" customFormat="false" ht="15.75" hidden="false" customHeight="false" outlineLevel="0" collapsed="false">
      <c r="M846" s="4"/>
    </row>
    <row r="847" customFormat="false" ht="15.75" hidden="false" customHeight="false" outlineLevel="0" collapsed="false">
      <c r="M847" s="4"/>
    </row>
    <row r="848" customFormat="false" ht="15.75" hidden="false" customHeight="false" outlineLevel="0" collapsed="false">
      <c r="M848" s="4"/>
    </row>
    <row r="849" customFormat="false" ht="15.75" hidden="false" customHeight="false" outlineLevel="0" collapsed="false">
      <c r="M849" s="4"/>
    </row>
    <row r="850" customFormat="false" ht="15.75" hidden="false" customHeight="false" outlineLevel="0" collapsed="false">
      <c r="M850" s="4"/>
    </row>
    <row r="851" customFormat="false" ht="15.75" hidden="false" customHeight="false" outlineLevel="0" collapsed="false">
      <c r="M851" s="4"/>
    </row>
    <row r="852" customFormat="false" ht="15.75" hidden="false" customHeight="false" outlineLevel="0" collapsed="false">
      <c r="M852" s="4"/>
    </row>
    <row r="853" customFormat="false" ht="15.75" hidden="false" customHeight="false" outlineLevel="0" collapsed="false">
      <c r="M853" s="4"/>
    </row>
    <row r="854" customFormat="false" ht="15.75" hidden="false" customHeight="false" outlineLevel="0" collapsed="false">
      <c r="M854" s="4"/>
    </row>
    <row r="855" customFormat="false" ht="15.75" hidden="false" customHeight="false" outlineLevel="0" collapsed="false">
      <c r="M855" s="4"/>
    </row>
    <row r="856" customFormat="false" ht="15.75" hidden="false" customHeight="false" outlineLevel="0" collapsed="false">
      <c r="M856" s="4"/>
    </row>
    <row r="857" customFormat="false" ht="15.75" hidden="false" customHeight="false" outlineLevel="0" collapsed="false">
      <c r="M857" s="4"/>
    </row>
    <row r="858" customFormat="false" ht="15.75" hidden="false" customHeight="false" outlineLevel="0" collapsed="false">
      <c r="M858" s="4"/>
    </row>
    <row r="859" customFormat="false" ht="15.75" hidden="false" customHeight="false" outlineLevel="0" collapsed="false">
      <c r="M859" s="4"/>
    </row>
    <row r="860" customFormat="false" ht="15.75" hidden="false" customHeight="false" outlineLevel="0" collapsed="false">
      <c r="M860" s="4"/>
    </row>
    <row r="861" customFormat="false" ht="15.75" hidden="false" customHeight="false" outlineLevel="0" collapsed="false">
      <c r="M861" s="4"/>
    </row>
    <row r="862" customFormat="false" ht="15.75" hidden="false" customHeight="false" outlineLevel="0" collapsed="false">
      <c r="M862" s="4"/>
    </row>
    <row r="863" customFormat="false" ht="15.75" hidden="false" customHeight="false" outlineLevel="0" collapsed="false">
      <c r="M863" s="4"/>
    </row>
    <row r="864" customFormat="false" ht="15.75" hidden="false" customHeight="false" outlineLevel="0" collapsed="false">
      <c r="M864" s="4"/>
    </row>
    <row r="865" customFormat="false" ht="15.75" hidden="false" customHeight="false" outlineLevel="0" collapsed="false">
      <c r="M865" s="4"/>
    </row>
    <row r="866" customFormat="false" ht="15.75" hidden="false" customHeight="false" outlineLevel="0" collapsed="false">
      <c r="M866" s="4"/>
    </row>
    <row r="867" customFormat="false" ht="15.75" hidden="false" customHeight="false" outlineLevel="0" collapsed="false">
      <c r="M867" s="4"/>
    </row>
    <row r="868" customFormat="false" ht="15.75" hidden="false" customHeight="false" outlineLevel="0" collapsed="false">
      <c r="M868" s="4"/>
    </row>
    <row r="869" customFormat="false" ht="15.75" hidden="false" customHeight="false" outlineLevel="0" collapsed="false">
      <c r="M869" s="4"/>
    </row>
    <row r="870" customFormat="false" ht="15.75" hidden="false" customHeight="false" outlineLevel="0" collapsed="false">
      <c r="M870" s="4"/>
    </row>
    <row r="871" customFormat="false" ht="15.75" hidden="false" customHeight="false" outlineLevel="0" collapsed="false">
      <c r="M871" s="4"/>
    </row>
    <row r="872" customFormat="false" ht="15.75" hidden="false" customHeight="false" outlineLevel="0" collapsed="false">
      <c r="M872" s="4"/>
    </row>
    <row r="873" customFormat="false" ht="15.75" hidden="false" customHeight="false" outlineLevel="0" collapsed="false">
      <c r="M873" s="4"/>
    </row>
    <row r="874" customFormat="false" ht="15.75" hidden="false" customHeight="false" outlineLevel="0" collapsed="false">
      <c r="M874" s="4"/>
    </row>
    <row r="875" customFormat="false" ht="15.75" hidden="false" customHeight="false" outlineLevel="0" collapsed="false">
      <c r="M875" s="4"/>
    </row>
    <row r="876" customFormat="false" ht="15.75" hidden="false" customHeight="false" outlineLevel="0" collapsed="false">
      <c r="M876" s="4"/>
    </row>
    <row r="877" customFormat="false" ht="15.75" hidden="false" customHeight="false" outlineLevel="0" collapsed="false">
      <c r="M877" s="4"/>
    </row>
    <row r="878" customFormat="false" ht="15.75" hidden="false" customHeight="false" outlineLevel="0" collapsed="false">
      <c r="M878" s="4"/>
    </row>
    <row r="879" customFormat="false" ht="15.75" hidden="false" customHeight="false" outlineLevel="0" collapsed="false">
      <c r="M879" s="4"/>
    </row>
    <row r="880" customFormat="false" ht="15.75" hidden="false" customHeight="false" outlineLevel="0" collapsed="false">
      <c r="M880" s="4"/>
    </row>
    <row r="881" customFormat="false" ht="15.75" hidden="false" customHeight="false" outlineLevel="0" collapsed="false">
      <c r="M881" s="4"/>
    </row>
    <row r="882" customFormat="false" ht="15.75" hidden="false" customHeight="false" outlineLevel="0" collapsed="false">
      <c r="M882" s="4"/>
    </row>
    <row r="883" customFormat="false" ht="15.75" hidden="false" customHeight="false" outlineLevel="0" collapsed="false">
      <c r="M883" s="4"/>
    </row>
    <row r="884" customFormat="false" ht="15.75" hidden="false" customHeight="false" outlineLevel="0" collapsed="false">
      <c r="M884" s="4"/>
    </row>
    <row r="885" customFormat="false" ht="15.75" hidden="false" customHeight="false" outlineLevel="0" collapsed="false">
      <c r="M885" s="4"/>
    </row>
    <row r="886" customFormat="false" ht="15.75" hidden="false" customHeight="false" outlineLevel="0" collapsed="false">
      <c r="M886" s="4"/>
    </row>
    <row r="887" customFormat="false" ht="15.75" hidden="false" customHeight="false" outlineLevel="0" collapsed="false">
      <c r="M887" s="4"/>
    </row>
    <row r="888" customFormat="false" ht="15.75" hidden="false" customHeight="false" outlineLevel="0" collapsed="false">
      <c r="M888" s="4"/>
    </row>
    <row r="889" customFormat="false" ht="15.75" hidden="false" customHeight="false" outlineLevel="0" collapsed="false">
      <c r="M889" s="4"/>
    </row>
    <row r="890" customFormat="false" ht="15.75" hidden="false" customHeight="false" outlineLevel="0" collapsed="false">
      <c r="M890" s="4"/>
    </row>
    <row r="891" customFormat="false" ht="15.75" hidden="false" customHeight="false" outlineLevel="0" collapsed="false">
      <c r="M891" s="4"/>
    </row>
    <row r="892" customFormat="false" ht="15.75" hidden="false" customHeight="false" outlineLevel="0" collapsed="false">
      <c r="M892" s="4"/>
    </row>
    <row r="893" customFormat="false" ht="15.75" hidden="false" customHeight="false" outlineLevel="0" collapsed="false">
      <c r="M893" s="4"/>
    </row>
    <row r="894" customFormat="false" ht="15.75" hidden="false" customHeight="false" outlineLevel="0" collapsed="false">
      <c r="M894" s="4"/>
    </row>
    <row r="895" customFormat="false" ht="15.75" hidden="false" customHeight="false" outlineLevel="0" collapsed="false">
      <c r="M895" s="4"/>
    </row>
    <row r="896" customFormat="false" ht="15.75" hidden="false" customHeight="false" outlineLevel="0" collapsed="false">
      <c r="M896" s="4"/>
    </row>
    <row r="897" customFormat="false" ht="15.75" hidden="false" customHeight="false" outlineLevel="0" collapsed="false">
      <c r="M897" s="4"/>
    </row>
    <row r="898" customFormat="false" ht="15.75" hidden="false" customHeight="false" outlineLevel="0" collapsed="false">
      <c r="M898" s="4"/>
    </row>
    <row r="899" customFormat="false" ht="15.75" hidden="false" customHeight="false" outlineLevel="0" collapsed="false">
      <c r="M899" s="4"/>
    </row>
    <row r="900" customFormat="false" ht="15.75" hidden="false" customHeight="false" outlineLevel="0" collapsed="false">
      <c r="M900" s="4"/>
    </row>
    <row r="901" customFormat="false" ht="15.75" hidden="false" customHeight="false" outlineLevel="0" collapsed="false">
      <c r="M901" s="4"/>
    </row>
    <row r="902" customFormat="false" ht="15.75" hidden="false" customHeight="false" outlineLevel="0" collapsed="false">
      <c r="M902" s="4"/>
    </row>
    <row r="903" customFormat="false" ht="15.75" hidden="false" customHeight="false" outlineLevel="0" collapsed="false">
      <c r="M903" s="4"/>
    </row>
    <row r="904" customFormat="false" ht="15.75" hidden="false" customHeight="false" outlineLevel="0" collapsed="false">
      <c r="M904" s="4"/>
    </row>
    <row r="905" customFormat="false" ht="15.75" hidden="false" customHeight="false" outlineLevel="0" collapsed="false">
      <c r="M905" s="4"/>
    </row>
    <row r="906" customFormat="false" ht="15.75" hidden="false" customHeight="false" outlineLevel="0" collapsed="false">
      <c r="M906" s="4"/>
    </row>
    <row r="907" customFormat="false" ht="15.75" hidden="false" customHeight="false" outlineLevel="0" collapsed="false">
      <c r="M907" s="4"/>
    </row>
    <row r="908" customFormat="false" ht="15.75" hidden="false" customHeight="false" outlineLevel="0" collapsed="false">
      <c r="M908" s="4"/>
    </row>
    <row r="909" customFormat="false" ht="15.75" hidden="false" customHeight="false" outlineLevel="0" collapsed="false">
      <c r="M909" s="4"/>
    </row>
    <row r="910" customFormat="false" ht="15.75" hidden="false" customHeight="false" outlineLevel="0" collapsed="false">
      <c r="M910" s="4"/>
    </row>
    <row r="911" customFormat="false" ht="15.75" hidden="false" customHeight="false" outlineLevel="0" collapsed="false">
      <c r="M911" s="4"/>
    </row>
    <row r="912" customFormat="false" ht="15.75" hidden="false" customHeight="false" outlineLevel="0" collapsed="false">
      <c r="M912" s="4"/>
    </row>
    <row r="913" customFormat="false" ht="15.75" hidden="false" customHeight="false" outlineLevel="0" collapsed="false">
      <c r="M913" s="4"/>
    </row>
    <row r="914" customFormat="false" ht="15.75" hidden="false" customHeight="false" outlineLevel="0" collapsed="false">
      <c r="M914" s="4"/>
    </row>
    <row r="915" customFormat="false" ht="15.75" hidden="false" customHeight="false" outlineLevel="0" collapsed="false">
      <c r="M915" s="4"/>
    </row>
    <row r="916" customFormat="false" ht="15.75" hidden="false" customHeight="false" outlineLevel="0" collapsed="false">
      <c r="M916" s="4"/>
    </row>
    <row r="917" customFormat="false" ht="15.75" hidden="false" customHeight="false" outlineLevel="0" collapsed="false">
      <c r="M917" s="4"/>
    </row>
    <row r="918" customFormat="false" ht="15.75" hidden="false" customHeight="false" outlineLevel="0" collapsed="false">
      <c r="M918" s="4"/>
    </row>
    <row r="919" customFormat="false" ht="15.75" hidden="false" customHeight="false" outlineLevel="0" collapsed="false">
      <c r="M919" s="4"/>
    </row>
    <row r="920" customFormat="false" ht="15.75" hidden="false" customHeight="false" outlineLevel="0" collapsed="false">
      <c r="M920" s="4"/>
    </row>
    <row r="921" customFormat="false" ht="15.75" hidden="false" customHeight="false" outlineLevel="0" collapsed="false">
      <c r="M921" s="4"/>
    </row>
    <row r="922" customFormat="false" ht="15.75" hidden="false" customHeight="false" outlineLevel="0" collapsed="false">
      <c r="M922" s="4"/>
    </row>
    <row r="923" customFormat="false" ht="15.75" hidden="false" customHeight="false" outlineLevel="0" collapsed="false">
      <c r="M923" s="4"/>
    </row>
    <row r="924" customFormat="false" ht="15.75" hidden="false" customHeight="false" outlineLevel="0" collapsed="false">
      <c r="M924" s="4"/>
    </row>
    <row r="925" customFormat="false" ht="15.75" hidden="false" customHeight="false" outlineLevel="0" collapsed="false">
      <c r="M925" s="4"/>
    </row>
    <row r="926" customFormat="false" ht="15.75" hidden="false" customHeight="false" outlineLevel="0" collapsed="false">
      <c r="M926" s="4"/>
    </row>
    <row r="927" customFormat="false" ht="15.75" hidden="false" customHeight="false" outlineLevel="0" collapsed="false">
      <c r="M927" s="4"/>
    </row>
    <row r="928" customFormat="false" ht="15.75" hidden="false" customHeight="false" outlineLevel="0" collapsed="false">
      <c r="M928" s="4"/>
    </row>
    <row r="929" customFormat="false" ht="15.75" hidden="false" customHeight="false" outlineLevel="0" collapsed="false">
      <c r="M929" s="4"/>
    </row>
    <row r="930" customFormat="false" ht="15.75" hidden="false" customHeight="false" outlineLevel="0" collapsed="false">
      <c r="M930" s="4"/>
    </row>
    <row r="931" customFormat="false" ht="15.75" hidden="false" customHeight="false" outlineLevel="0" collapsed="false">
      <c r="M931" s="4"/>
    </row>
    <row r="932" customFormat="false" ht="15.75" hidden="false" customHeight="false" outlineLevel="0" collapsed="false">
      <c r="M932" s="4"/>
    </row>
    <row r="933" customFormat="false" ht="15.75" hidden="false" customHeight="false" outlineLevel="0" collapsed="false">
      <c r="M933" s="4"/>
    </row>
    <row r="934" customFormat="false" ht="15.75" hidden="false" customHeight="false" outlineLevel="0" collapsed="false">
      <c r="M934" s="4"/>
    </row>
    <row r="935" customFormat="false" ht="15.75" hidden="false" customHeight="false" outlineLevel="0" collapsed="false">
      <c r="M935" s="4"/>
    </row>
    <row r="936" customFormat="false" ht="15.75" hidden="false" customHeight="false" outlineLevel="0" collapsed="false">
      <c r="M936" s="4"/>
    </row>
    <row r="937" customFormat="false" ht="15.75" hidden="false" customHeight="false" outlineLevel="0" collapsed="false">
      <c r="M937" s="4"/>
    </row>
    <row r="938" customFormat="false" ht="15.75" hidden="false" customHeight="false" outlineLevel="0" collapsed="false">
      <c r="M938" s="4"/>
    </row>
    <row r="939" customFormat="false" ht="15.75" hidden="false" customHeight="false" outlineLevel="0" collapsed="false">
      <c r="M939" s="4"/>
    </row>
    <row r="940" customFormat="false" ht="15.75" hidden="false" customHeight="false" outlineLevel="0" collapsed="false">
      <c r="M940" s="4"/>
    </row>
    <row r="941" customFormat="false" ht="15.75" hidden="false" customHeight="false" outlineLevel="0" collapsed="false">
      <c r="M941" s="4"/>
    </row>
    <row r="942" customFormat="false" ht="15.75" hidden="false" customHeight="false" outlineLevel="0" collapsed="false">
      <c r="M942" s="4"/>
    </row>
    <row r="943" customFormat="false" ht="15.75" hidden="false" customHeight="false" outlineLevel="0" collapsed="false">
      <c r="M943" s="4"/>
    </row>
    <row r="944" customFormat="false" ht="15.75" hidden="false" customHeight="false" outlineLevel="0" collapsed="false">
      <c r="M944" s="4"/>
    </row>
    <row r="945" customFormat="false" ht="15.75" hidden="false" customHeight="false" outlineLevel="0" collapsed="false">
      <c r="M945" s="4"/>
    </row>
    <row r="946" customFormat="false" ht="15.75" hidden="false" customHeight="false" outlineLevel="0" collapsed="false">
      <c r="M946" s="4"/>
    </row>
    <row r="947" customFormat="false" ht="15.75" hidden="false" customHeight="false" outlineLevel="0" collapsed="false">
      <c r="M947" s="4"/>
    </row>
    <row r="948" customFormat="false" ht="15.75" hidden="false" customHeight="false" outlineLevel="0" collapsed="false">
      <c r="M948" s="4"/>
    </row>
    <row r="949" customFormat="false" ht="15.75" hidden="false" customHeight="false" outlineLevel="0" collapsed="false">
      <c r="M949" s="4"/>
    </row>
    <row r="950" customFormat="false" ht="15.75" hidden="false" customHeight="false" outlineLevel="0" collapsed="false">
      <c r="M950" s="4"/>
    </row>
    <row r="951" customFormat="false" ht="15.75" hidden="false" customHeight="false" outlineLevel="0" collapsed="false">
      <c r="M951" s="4"/>
    </row>
    <row r="952" customFormat="false" ht="15.75" hidden="false" customHeight="false" outlineLevel="0" collapsed="false">
      <c r="M952" s="4"/>
    </row>
    <row r="953" customFormat="false" ht="15.75" hidden="false" customHeight="false" outlineLevel="0" collapsed="false">
      <c r="M953" s="4"/>
    </row>
    <row r="954" customFormat="false" ht="15.75" hidden="false" customHeight="false" outlineLevel="0" collapsed="false">
      <c r="M954" s="4"/>
    </row>
    <row r="955" customFormat="false" ht="15.75" hidden="false" customHeight="false" outlineLevel="0" collapsed="false">
      <c r="M955" s="4"/>
    </row>
    <row r="956" customFormat="false" ht="15.75" hidden="false" customHeight="false" outlineLevel="0" collapsed="false">
      <c r="M956" s="4"/>
    </row>
    <row r="957" customFormat="false" ht="15.75" hidden="false" customHeight="false" outlineLevel="0" collapsed="false">
      <c r="M957" s="4"/>
    </row>
    <row r="958" customFormat="false" ht="15.75" hidden="false" customHeight="false" outlineLevel="0" collapsed="false">
      <c r="M958" s="4"/>
    </row>
    <row r="959" customFormat="false" ht="15.75" hidden="false" customHeight="false" outlineLevel="0" collapsed="false">
      <c r="M959" s="4"/>
    </row>
    <row r="960" customFormat="false" ht="15.75" hidden="false" customHeight="false" outlineLevel="0" collapsed="false">
      <c r="M960" s="4"/>
    </row>
    <row r="961" customFormat="false" ht="15.75" hidden="false" customHeight="false" outlineLevel="0" collapsed="false">
      <c r="M961" s="4"/>
    </row>
    <row r="962" customFormat="false" ht="15.75" hidden="false" customHeight="false" outlineLevel="0" collapsed="false">
      <c r="M962" s="4"/>
    </row>
    <row r="963" customFormat="false" ht="15.75" hidden="false" customHeight="false" outlineLevel="0" collapsed="false">
      <c r="M963" s="4"/>
    </row>
    <row r="964" customFormat="false" ht="15.75" hidden="false" customHeight="false" outlineLevel="0" collapsed="false">
      <c r="M964" s="4"/>
    </row>
    <row r="965" customFormat="false" ht="15.75" hidden="false" customHeight="false" outlineLevel="0" collapsed="false">
      <c r="M965" s="4"/>
    </row>
    <row r="966" customFormat="false" ht="15.75" hidden="false" customHeight="false" outlineLevel="0" collapsed="false">
      <c r="M966" s="4"/>
    </row>
    <row r="967" customFormat="false" ht="15.75" hidden="false" customHeight="false" outlineLevel="0" collapsed="false">
      <c r="M967" s="4"/>
    </row>
    <row r="968" customFormat="false" ht="15.75" hidden="false" customHeight="false" outlineLevel="0" collapsed="false">
      <c r="M968" s="4"/>
    </row>
    <row r="969" customFormat="false" ht="15.75" hidden="false" customHeight="false" outlineLevel="0" collapsed="false">
      <c r="M969" s="4"/>
    </row>
    <row r="970" customFormat="false" ht="15.75" hidden="false" customHeight="false" outlineLevel="0" collapsed="false">
      <c r="M970" s="4"/>
    </row>
    <row r="971" customFormat="false" ht="15.75" hidden="false" customHeight="false" outlineLevel="0" collapsed="false">
      <c r="M971" s="4"/>
    </row>
    <row r="972" customFormat="false" ht="15.75" hidden="false" customHeight="false" outlineLevel="0" collapsed="false">
      <c r="M972" s="4"/>
    </row>
    <row r="973" customFormat="false" ht="15.75" hidden="false" customHeight="false" outlineLevel="0" collapsed="false">
      <c r="M973" s="4"/>
    </row>
    <row r="974" customFormat="false" ht="15.75" hidden="false" customHeight="false" outlineLevel="0" collapsed="false">
      <c r="M974" s="4"/>
    </row>
    <row r="975" customFormat="false" ht="15.75" hidden="false" customHeight="false" outlineLevel="0" collapsed="false">
      <c r="M975" s="4"/>
    </row>
    <row r="976" customFormat="false" ht="15.75" hidden="false" customHeight="false" outlineLevel="0" collapsed="false">
      <c r="M976" s="4"/>
    </row>
    <row r="977" customFormat="false" ht="15.75" hidden="false" customHeight="false" outlineLevel="0" collapsed="false">
      <c r="M977" s="4"/>
    </row>
    <row r="978" customFormat="false" ht="15.75" hidden="false" customHeight="false" outlineLevel="0" collapsed="false">
      <c r="M978" s="4"/>
    </row>
    <row r="979" customFormat="false" ht="15.75" hidden="false" customHeight="false" outlineLevel="0" collapsed="false">
      <c r="M979" s="4"/>
    </row>
    <row r="980" customFormat="false" ht="15.75" hidden="false" customHeight="false" outlineLevel="0" collapsed="false">
      <c r="M980" s="4"/>
    </row>
    <row r="981" customFormat="false" ht="15.75" hidden="false" customHeight="false" outlineLevel="0" collapsed="false">
      <c r="M981" s="4"/>
    </row>
    <row r="982" customFormat="false" ht="15.75" hidden="false" customHeight="false" outlineLevel="0" collapsed="false">
      <c r="M982" s="4"/>
    </row>
    <row r="983" customFormat="false" ht="15.75" hidden="false" customHeight="false" outlineLevel="0" collapsed="false">
      <c r="M983" s="4"/>
    </row>
    <row r="984" customFormat="false" ht="15.75" hidden="false" customHeight="false" outlineLevel="0" collapsed="false">
      <c r="M984" s="4"/>
    </row>
    <row r="985" customFormat="false" ht="15.75" hidden="false" customHeight="false" outlineLevel="0" collapsed="false">
      <c r="M985" s="4"/>
    </row>
    <row r="986" customFormat="false" ht="15.75" hidden="false" customHeight="false" outlineLevel="0" collapsed="false">
      <c r="M986" s="4"/>
    </row>
    <row r="987" customFormat="false" ht="15.75" hidden="false" customHeight="false" outlineLevel="0" collapsed="false">
      <c r="M987" s="4"/>
    </row>
    <row r="988" customFormat="false" ht="15.75" hidden="false" customHeight="false" outlineLevel="0" collapsed="false">
      <c r="M988" s="4"/>
    </row>
    <row r="989" customFormat="false" ht="15.75" hidden="false" customHeight="false" outlineLevel="0" collapsed="false">
      <c r="M989" s="4"/>
    </row>
    <row r="990" customFormat="false" ht="15.75" hidden="false" customHeight="false" outlineLevel="0" collapsed="false">
      <c r="M990" s="4"/>
    </row>
    <row r="991" customFormat="false" ht="15.75" hidden="false" customHeight="false" outlineLevel="0" collapsed="false">
      <c r="M991" s="4"/>
    </row>
    <row r="992" customFormat="false" ht="15.75" hidden="false" customHeight="false" outlineLevel="0" collapsed="false">
      <c r="M992" s="4"/>
    </row>
    <row r="993" customFormat="false" ht="15.75" hidden="false" customHeight="false" outlineLevel="0" collapsed="false">
      <c r="M993" s="4"/>
    </row>
    <row r="994" customFormat="false" ht="15.75" hidden="false" customHeight="false" outlineLevel="0" collapsed="false">
      <c r="M994" s="4"/>
    </row>
    <row r="995" customFormat="false" ht="15.75" hidden="false" customHeight="false" outlineLevel="0" collapsed="false">
      <c r="M995" s="4"/>
    </row>
    <row r="996" customFormat="false" ht="15.75" hidden="false" customHeight="false" outlineLevel="0" collapsed="false">
      <c r="M996" s="4"/>
    </row>
    <row r="997" customFormat="false" ht="15.75" hidden="false" customHeight="false" outlineLevel="0" collapsed="false">
      <c r="M997" s="4"/>
    </row>
    <row r="998" customFormat="false" ht="15.75" hidden="false" customHeight="false" outlineLevel="0" collapsed="false">
      <c r="M998" s="4"/>
    </row>
    <row r="999" customFormat="false" ht="15.75" hidden="false" customHeight="false" outlineLevel="0" collapsed="false">
      <c r="M999" s="4"/>
    </row>
    <row r="1000" customFormat="false" ht="15.75" hidden="false" customHeight="false" outlineLevel="0" collapsed="false">
      <c r="M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4" min="4" style="0" width="31.43"/>
    <col collapsed="false" customWidth="true" hidden="false" outlineLevel="0" max="5" min="5" style="0" width="4.43"/>
    <col collapsed="false" customWidth="true" hidden="false" outlineLevel="0" max="6" min="6" style="0" width="5.29"/>
    <col collapsed="false" customWidth="true" hidden="false" outlineLevel="0" max="7" min="7" style="0" width="4.43"/>
    <col collapsed="false" customWidth="true" hidden="false" outlineLevel="0" max="8" min="8" style="0" width="5.01"/>
    <col collapsed="false" customWidth="true" hidden="false" outlineLevel="0" max="14" min="9" style="0" width="4.43"/>
  </cols>
  <sheetData>
    <row r="1" customFormat="false" ht="15.75" hidden="false" customHeight="false" outlineLevel="0" collapsed="false">
      <c r="A1" s="0" t="str">
        <f aca="false">'Переформатированный ответ'!I2</f>
        <v>Программирование(Свет)</v>
      </c>
      <c r="B1" s="0" t="str">
        <f aca="false">'Переформатированный ответ'!J2</f>
        <v>Математика(Кудык)</v>
      </c>
      <c r="E1" s="29" t="str">
        <f aca="false">'Переформатированный ответ'!N2</f>
        <v>Биоинформатика</v>
      </c>
      <c r="F1" s="28" t="str">
        <f aca="false">'Переформатированный ответ'!N3</f>
        <v>Физика(Шумаков)</v>
      </c>
      <c r="G1" s="28" t="str">
        <f aca="false">'Переформатированный ответ'!N4</f>
        <v>Физика(Рутберг)</v>
      </c>
      <c r="H1" s="28" t="str">
        <f aca="false">'Переформатированный ответ'!N5</f>
        <v>Математика(Кудык)</v>
      </c>
      <c r="I1" s="30" t="str">
        <f aca="false">'Переформатированный ответ'!N6</f>
        <v>Программирование(Свет)</v>
      </c>
      <c r="J1" s="29" t="str">
        <f aca="false">'Переформатированный ответ'!N7</f>
        <v>Математика(Строженко)</v>
      </c>
      <c r="K1" s="30" t="str">
        <f aca="false">'Переформатированный ответ'!N8</f>
        <v>Экономика</v>
      </c>
      <c r="L1" s="30" t="str">
        <f aca="false">'Переформатированный ответ'!N9</f>
        <v>Испанский</v>
      </c>
      <c r="M1" s="29" t="str">
        <f aca="false">'Переформатированный ответ'!N10</f>
        <v>Право</v>
      </c>
      <c r="N1" s="30" t="str">
        <f aca="false">'Переформатированный ответ'!N11</f>
        <v>Программирование(Шульга)</v>
      </c>
    </row>
    <row r="2" customFormat="false" ht="15.75" hidden="false" customHeight="false" outlineLevel="0" collapsed="false">
      <c r="A2" s="0" t="str">
        <f aca="false">'Переформатированный ответ'!I3</f>
        <v>Право</v>
      </c>
      <c r="B2" s="0" t="str">
        <f aca="false">'Переформатированный ответ'!J3</f>
        <v>Испанский</v>
      </c>
      <c r="C2" s="4"/>
      <c r="D2" s="29" t="str">
        <f aca="false">'Переформатированный ответ'!N2</f>
        <v>Биоинформатика</v>
      </c>
      <c r="E2" s="19" t="n">
        <f aca="false">COUNTIFS($A$1:$A$200,$D2,$B$1:$B$200,E$1)+COUNTIFS($A$1:$A$200,E$1,$B$1:$B$200,$D2)</f>
        <v>0</v>
      </c>
      <c r="F2" s="19" t="n">
        <f aca="false">COUNTIFS($A$1:$A$200,$D2,$B$1:$B$200,F$1)+COUNTIFS($A$1:$A$200,F$1,$B$1:$B$200,$D2)</f>
        <v>2</v>
      </c>
      <c r="G2" s="19" t="n">
        <f aca="false">COUNTIFS($A$1:$A$200,$D2,$B$1:$B$200,G$1)+COUNTIFS($A$1:$A$200,G$1,$B$1:$B$200,$D2)</f>
        <v>3</v>
      </c>
      <c r="H2" s="19" t="n">
        <f aca="false">COUNTIFS($A$1:$A$200,$D2,$B$1:$B$200,H$1)+COUNTIFS($A$1:$A$200,H$1,$B$1:$B$200,$D2)</f>
        <v>5</v>
      </c>
      <c r="I2" s="19" t="n">
        <f aca="false">COUNTIFS($A$1:$A$200,$D2,$B$1:$B$200,I$1)+COUNTIFS($A$1:$A$200,I$1,$B$1:$B$200,$D2)</f>
        <v>4</v>
      </c>
      <c r="J2" s="19" t="n">
        <f aca="false">COUNTIFS($A$1:$A$200,$D2,$B$1:$B$200,J$1)+COUNTIFS($A$1:$A$200,J$1,$B$1:$B$200,$D2)</f>
        <v>2</v>
      </c>
      <c r="K2" s="19" t="n">
        <f aca="false">COUNTIFS($A$1:$A$200,$D2,$B$1:$B$200,K$1)+COUNTIFS($A$1:$A$200,K$1,$B$1:$B$200,$D2)</f>
        <v>1</v>
      </c>
      <c r="L2" s="19" t="n">
        <f aca="false">COUNTIFS($A$1:$A$200,$D2,$B$1:$B$200,L$1)+COUNTIFS($A$1:$A$200,L$1,$B$1:$B$200,$D2)</f>
        <v>3</v>
      </c>
      <c r="M2" s="19" t="n">
        <f aca="false">COUNTIFS($A$1:$A$200,$D2,$B$1:$B$200,M$1)+COUNTIFS($A$1:$A$200,M$1,$B$1:$B$200,$D2)</f>
        <v>0</v>
      </c>
      <c r="N2" s="19" t="n">
        <f aca="false">COUNTIFS($A$1:$A$200,$D2,$B$1:$B$200,N$1)+COUNTIFS($A$1:$A$200,N$1,$B$1:$B$200,$D2)</f>
        <v>3</v>
      </c>
    </row>
    <row r="3" customFormat="false" ht="15.75" hidden="false" customHeight="false" outlineLevel="0" collapsed="false">
      <c r="A3" s="0" t="str">
        <f aca="false">'Переформатированный ответ'!I4</f>
        <v>Биоинформатика</v>
      </c>
      <c r="B3" s="0" t="str">
        <f aca="false">'Переформатированный ответ'!J4</f>
        <v>Математика(Строженко)</v>
      </c>
      <c r="C3" s="4"/>
      <c r="D3" s="28" t="str">
        <f aca="false">'Переформатированный ответ'!N3</f>
        <v>Физика(Шумаков)</v>
      </c>
      <c r="E3" s="19" t="n">
        <f aca="false">COUNTIFS($A$1:$A$200,$D3,$B$1:$B$200,E$1)+COUNTIFS($A$1:$A$200,E$1,$B$1:$B$200,$D3)</f>
        <v>2</v>
      </c>
      <c r="F3" s="19" t="n">
        <f aca="false">COUNTIFS($A$1:$A$200,$D3,$B$1:$B$200,F$1)+COUNTIFS($A$1:$A$200,F$1,$B$1:$B$200,$D3)</f>
        <v>0</v>
      </c>
      <c r="G3" s="19" t="n">
        <f aca="false">COUNTIFS($A$1:$A$200,$D3,$B$1:$B$200,G$1)+COUNTIFS($A$1:$A$200,G$1,$B$1:$B$200,$D3)</f>
        <v>2</v>
      </c>
      <c r="H3" s="19" t="n">
        <f aca="false">COUNTIFS($A$1:$A$200,$D3,$B$1:$B$200,H$1)+COUNTIFS($A$1:$A$200,H$1,$B$1:$B$200,$D3)</f>
        <v>2</v>
      </c>
      <c r="I3" s="19" t="n">
        <f aca="false">COUNTIFS($A$1:$A$200,$D3,$B$1:$B$200,I$1)+COUNTIFS($A$1:$A$200,I$1,$B$1:$B$200,$D3)</f>
        <v>4</v>
      </c>
      <c r="J3" s="19" t="n">
        <f aca="false">COUNTIFS($A$1:$A$200,$D3,$B$1:$B$200,J$1)+COUNTIFS($A$1:$A$200,J$1,$B$1:$B$200,$D3)</f>
        <v>4</v>
      </c>
      <c r="K3" s="19" t="n">
        <f aca="false">COUNTIFS($A$1:$A$200,$D3,$B$1:$B$200,K$1)+COUNTIFS($A$1:$A$200,K$1,$B$1:$B$200,$D3)</f>
        <v>1</v>
      </c>
      <c r="L3" s="19" t="n">
        <f aca="false">COUNTIFS($A$1:$A$200,$D3,$B$1:$B$200,L$1)+COUNTIFS($A$1:$A$200,L$1,$B$1:$B$200,$D3)</f>
        <v>0</v>
      </c>
      <c r="M3" s="19" t="n">
        <f aca="false">COUNTIFS($A$1:$A$200,$D3,$B$1:$B$200,M$1)+COUNTIFS($A$1:$A$200,M$1,$B$1:$B$200,$D3)</f>
        <v>0</v>
      </c>
      <c r="N3" s="19" t="n">
        <f aca="false">COUNTIFS($A$1:$A$200,$D3,$B$1:$B$200,N$1)+COUNTIFS($A$1:$A$200,N$1,$B$1:$B$200,$D3)</f>
        <v>4</v>
      </c>
    </row>
    <row r="4" customFormat="false" ht="15.75" hidden="false" customHeight="false" outlineLevel="0" collapsed="false">
      <c r="A4" s="0" t="str">
        <f aca="false">'Переформатированный ответ'!I5</f>
        <v>Биоинформатика</v>
      </c>
      <c r="B4" s="0" t="str">
        <f aca="false">'Переформатированный ответ'!J5</f>
        <v>Математика(Кудык)</v>
      </c>
      <c r="C4" s="4"/>
      <c r="D4" s="28" t="str">
        <f aca="false">'Переформатированный ответ'!N4</f>
        <v>Физика(Рутберг)</v>
      </c>
      <c r="E4" s="19" t="n">
        <f aca="false">COUNTIFS($A$1:$A$200,$D4,$B$1:$B$200,E$1)+COUNTIFS($A$1:$A$200,E$1,$B$1:$B$200,$D4)</f>
        <v>3</v>
      </c>
      <c r="F4" s="19" t="n">
        <f aca="false">COUNTIFS($A$1:$A$200,$D4,$B$1:$B$200,F$1)+COUNTIFS($A$1:$A$200,F$1,$B$1:$B$200,$D4)</f>
        <v>2</v>
      </c>
      <c r="G4" s="19" t="n">
        <f aca="false">COUNTIFS($A$1:$A$200,$D4,$B$1:$B$200,G$1)+COUNTIFS($A$1:$A$200,G$1,$B$1:$B$200,$D4)</f>
        <v>0</v>
      </c>
      <c r="H4" s="19" t="n">
        <f aca="false">COUNTIFS($A$1:$A$200,$D4,$B$1:$B$200,H$1)+COUNTIFS($A$1:$A$200,H$1,$B$1:$B$200,$D4)</f>
        <v>10</v>
      </c>
      <c r="I4" s="19" t="n">
        <f aca="false">COUNTIFS($A$1:$A$200,$D4,$B$1:$B$200,I$1)+COUNTIFS($A$1:$A$200,I$1,$B$1:$B$200,$D4)</f>
        <v>0</v>
      </c>
      <c r="J4" s="19" t="n">
        <f aca="false">COUNTIFS($A$1:$A$200,$D4,$B$1:$B$200,J$1)+COUNTIFS($A$1:$A$200,J$1,$B$1:$B$200,$D4)</f>
        <v>0</v>
      </c>
      <c r="K4" s="19" t="n">
        <f aca="false">COUNTIFS($A$1:$A$200,$D4,$B$1:$B$200,K$1)+COUNTIFS($A$1:$A$200,K$1,$B$1:$B$200,$D4)</f>
        <v>1</v>
      </c>
      <c r="L4" s="19" t="n">
        <f aca="false">COUNTIFS($A$1:$A$200,$D4,$B$1:$B$200,L$1)+COUNTIFS($A$1:$A$200,L$1,$B$1:$B$200,$D4)</f>
        <v>4</v>
      </c>
      <c r="M4" s="19" t="n">
        <f aca="false">COUNTIFS($A$1:$A$200,$D4,$B$1:$B$200,M$1)+COUNTIFS($A$1:$A$200,M$1,$B$1:$B$200,$D4)</f>
        <v>0</v>
      </c>
      <c r="N4" s="19" t="n">
        <f aca="false">COUNTIFS($A$1:$A$200,$D4,$B$1:$B$200,N$1)+COUNTIFS($A$1:$A$200,N$1,$B$1:$B$200,$D4)</f>
        <v>1</v>
      </c>
    </row>
    <row r="5" customFormat="false" ht="15.75" hidden="false" customHeight="false" outlineLevel="0" collapsed="false">
      <c r="A5" s="0" t="str">
        <f aca="false">'Переформатированный ответ'!I6</f>
        <v>Испанский</v>
      </c>
      <c r="B5" s="0" t="str">
        <f aca="false">'Переформатированный ответ'!J6</f>
        <v>Экономика</v>
      </c>
      <c r="C5" s="4"/>
      <c r="D5" s="28" t="str">
        <f aca="false">'Переформатированный ответ'!N5</f>
        <v>Математика(Кудык)</v>
      </c>
      <c r="E5" s="19" t="n">
        <f aca="false">COUNTIFS($A$1:$A$200,$D5,$B$1:$B$200,E$1)+COUNTIFS($A$1:$A$200,E$1,$B$1:$B$200,$D5)</f>
        <v>5</v>
      </c>
      <c r="F5" s="19" t="n">
        <f aca="false">COUNTIFS($A$1:$A$200,$D5,$B$1:$B$200,F$1)+COUNTIFS($A$1:$A$200,F$1,$B$1:$B$200,$D5)</f>
        <v>2</v>
      </c>
      <c r="G5" s="19" t="n">
        <f aca="false">COUNTIFS($A$1:$A$200,$D5,$B$1:$B$200,G$1)+COUNTIFS($A$1:$A$200,G$1,$B$1:$B$200,$D5)</f>
        <v>10</v>
      </c>
      <c r="H5" s="19" t="n">
        <f aca="false">COUNTIFS($A$1:$A$200,$D5,$B$1:$B$200,H$1)+COUNTIFS($A$1:$A$200,H$1,$B$1:$B$200,$D5)</f>
        <v>0</v>
      </c>
      <c r="I5" s="19" t="n">
        <f aca="false">COUNTIFS($A$1:$A$200,$D5,$B$1:$B$200,I$1)+COUNTIFS($A$1:$A$200,I$1,$B$1:$B$200,$D5)</f>
        <v>4</v>
      </c>
      <c r="J5" s="19" t="n">
        <f aca="false">COUNTIFS($A$1:$A$200,$D5,$B$1:$B$200,J$1)+COUNTIFS($A$1:$A$200,J$1,$B$1:$B$200,$D5)</f>
        <v>1</v>
      </c>
      <c r="K5" s="19" t="n">
        <f aca="false">COUNTIFS($A$1:$A$200,$D5,$B$1:$B$200,K$1)+COUNTIFS($A$1:$A$200,K$1,$B$1:$B$200,$D5)</f>
        <v>1</v>
      </c>
      <c r="L5" s="19" t="n">
        <f aca="false">COUNTIFS($A$1:$A$200,$D5,$B$1:$B$200,L$1)+COUNTIFS($A$1:$A$200,L$1,$B$1:$B$200,$D5)</f>
        <v>3</v>
      </c>
      <c r="M5" s="19" t="n">
        <f aca="false">COUNTIFS($A$1:$A$200,$D5,$B$1:$B$200,M$1)+COUNTIFS($A$1:$A$200,M$1,$B$1:$B$200,$D5)</f>
        <v>1</v>
      </c>
      <c r="N5" s="19" t="n">
        <f aca="false">COUNTIFS($A$1:$A$200,$D5,$B$1:$B$200,N$1)+COUNTIFS($A$1:$A$200,N$1,$B$1:$B$200,$D5)</f>
        <v>5</v>
      </c>
    </row>
    <row r="6" customFormat="false" ht="15.75" hidden="false" customHeight="false" outlineLevel="0" collapsed="false">
      <c r="A6" s="0" t="str">
        <f aca="false">'Переформатированный ответ'!I7</f>
        <v>Физика(Шумаков)</v>
      </c>
      <c r="B6" s="0" t="str">
        <f aca="false">'Переформатированный ответ'!J7</f>
        <v>Математика(Строженко)</v>
      </c>
      <c r="C6" s="4"/>
      <c r="D6" s="30" t="str">
        <f aca="false">'Переформатированный ответ'!N6</f>
        <v>Программирование(Свет)</v>
      </c>
      <c r="E6" s="19" t="n">
        <f aca="false">COUNTIFS($A$1:$A$200,$D6,$B$1:$B$200,E$1)+COUNTIFS($A$1:$A$200,E$1,$B$1:$B$200,$D6)</f>
        <v>4</v>
      </c>
      <c r="F6" s="19" t="n">
        <f aca="false">COUNTIFS($A$1:$A$200,$D6,$B$1:$B$200,F$1)+COUNTIFS($A$1:$A$200,F$1,$B$1:$B$200,$D6)</f>
        <v>4</v>
      </c>
      <c r="G6" s="19" t="n">
        <f aca="false">COUNTIFS($A$1:$A$200,$D6,$B$1:$B$200,G$1)+COUNTIFS($A$1:$A$200,G$1,$B$1:$B$200,$D6)</f>
        <v>0</v>
      </c>
      <c r="H6" s="19" t="n">
        <f aca="false">COUNTIFS($A$1:$A$200,$D6,$B$1:$B$200,H$1)+COUNTIFS($A$1:$A$200,H$1,$B$1:$B$200,$D6)</f>
        <v>4</v>
      </c>
      <c r="I6" s="19" t="n">
        <f aca="false">COUNTIFS($A$1:$A$200,$D6,$B$1:$B$200,I$1)+COUNTIFS($A$1:$A$200,I$1,$B$1:$B$200,$D6)</f>
        <v>0</v>
      </c>
      <c r="J6" s="19" t="n">
        <f aca="false">COUNTIFS($A$1:$A$200,$D6,$B$1:$B$200,J$1)+COUNTIFS($A$1:$A$200,J$1,$B$1:$B$200,$D6)</f>
        <v>3</v>
      </c>
      <c r="K6" s="19" t="n">
        <f aca="false">COUNTIFS($A$1:$A$200,$D6,$B$1:$B$200,K$1)+COUNTIFS($A$1:$A$200,K$1,$B$1:$B$200,$D6)</f>
        <v>0</v>
      </c>
      <c r="L6" s="19" t="n">
        <f aca="false">COUNTIFS($A$1:$A$200,$D6,$B$1:$B$200,L$1)+COUNTIFS($A$1:$A$200,L$1,$B$1:$B$200,$D6)</f>
        <v>1</v>
      </c>
      <c r="M6" s="19" t="n">
        <f aca="false">COUNTIFS($A$1:$A$200,$D6,$B$1:$B$200,M$1)+COUNTIFS($A$1:$A$200,M$1,$B$1:$B$200,$D6)</f>
        <v>0</v>
      </c>
      <c r="N6" s="19" t="n">
        <f aca="false">COUNTIFS($A$1:$A$200,$D6,$B$1:$B$200,N$1)+COUNTIFS($A$1:$A$200,N$1,$B$1:$B$200,$D6)</f>
        <v>0</v>
      </c>
    </row>
    <row r="7" customFormat="false" ht="15.75" hidden="false" customHeight="false" outlineLevel="0" collapsed="false">
      <c r="A7" s="0" t="str">
        <f aca="false">'Переформатированный ответ'!I8</f>
        <v>Программирование(Свет)</v>
      </c>
      <c r="B7" s="0" t="str">
        <f aca="false">'Переформатированный ответ'!J8</f>
        <v>Физика(Шумаков)</v>
      </c>
      <c r="C7" s="4"/>
      <c r="D7" s="29" t="str">
        <f aca="false">'Переформатированный ответ'!N7</f>
        <v>Математика(Строженко)</v>
      </c>
      <c r="E7" s="19" t="n">
        <f aca="false">COUNTIFS($A$1:$A$200,$D7,$B$1:$B$200,E$1)+COUNTIFS($A$1:$A$200,E$1,$B$1:$B$200,$D7)</f>
        <v>2</v>
      </c>
      <c r="F7" s="19" t="n">
        <f aca="false">COUNTIFS($A$1:$A$200,$D7,$B$1:$B$200,F$1)+COUNTIFS($A$1:$A$200,F$1,$B$1:$B$200,$D7)</f>
        <v>4</v>
      </c>
      <c r="G7" s="19" t="n">
        <f aca="false">COUNTIFS($A$1:$A$200,$D7,$B$1:$B$200,G$1)+COUNTIFS($A$1:$A$200,G$1,$B$1:$B$200,$D7)</f>
        <v>0</v>
      </c>
      <c r="H7" s="19" t="n">
        <f aca="false">COUNTIFS($A$1:$A$200,$D7,$B$1:$B$200,H$1)+COUNTIFS($A$1:$A$200,H$1,$B$1:$B$200,$D7)</f>
        <v>1</v>
      </c>
      <c r="I7" s="19" t="n">
        <f aca="false">COUNTIFS($A$1:$A$200,$D7,$B$1:$B$200,I$1)+COUNTIFS($A$1:$A$200,I$1,$B$1:$B$200,$D7)</f>
        <v>3</v>
      </c>
      <c r="J7" s="19" t="n">
        <f aca="false">COUNTIFS($A$1:$A$200,$D7,$B$1:$B$200,J$1)+COUNTIFS($A$1:$A$200,J$1,$B$1:$B$200,$D7)</f>
        <v>0</v>
      </c>
      <c r="K7" s="19" t="n">
        <f aca="false">COUNTIFS($A$1:$A$200,$D7,$B$1:$B$200,K$1)+COUNTIFS($A$1:$A$200,K$1,$B$1:$B$200,$D7)</f>
        <v>0</v>
      </c>
      <c r="L7" s="19" t="n">
        <f aca="false">COUNTIFS($A$1:$A$200,$D7,$B$1:$B$200,L$1)+COUNTIFS($A$1:$A$200,L$1,$B$1:$B$200,$D7)</f>
        <v>0</v>
      </c>
      <c r="M7" s="19" t="n">
        <f aca="false">COUNTIFS($A$1:$A$200,$D7,$B$1:$B$200,M$1)+COUNTIFS($A$1:$A$200,M$1,$B$1:$B$200,$D7)</f>
        <v>0</v>
      </c>
      <c r="N7" s="19" t="n">
        <f aca="false">COUNTIFS($A$1:$A$200,$D7,$B$1:$B$200,N$1)+COUNTIFS($A$1:$A$200,N$1,$B$1:$B$200,$D7)</f>
        <v>2</v>
      </c>
    </row>
    <row r="8" customFormat="false" ht="15.75" hidden="false" customHeight="false" outlineLevel="0" collapsed="false">
      <c r="A8" s="0" t="str">
        <f aca="false">'Переформатированный ответ'!I9</f>
        <v>Биоинформатика</v>
      </c>
      <c r="B8" s="0" t="str">
        <f aca="false">'Переформатированный ответ'!J9</f>
        <v>Математика(Кудык)</v>
      </c>
      <c r="C8" s="4"/>
      <c r="D8" s="30" t="str">
        <f aca="false">'Переформатированный ответ'!N8</f>
        <v>Экономика</v>
      </c>
      <c r="E8" s="19" t="n">
        <f aca="false">COUNTIFS($A$1:$A$200,$D8,$B$1:$B$200,E$1)+COUNTIFS($A$1:$A$200,E$1,$B$1:$B$200,$D8)</f>
        <v>1</v>
      </c>
      <c r="F8" s="19" t="n">
        <f aca="false">COUNTIFS($A$1:$A$200,$D8,$B$1:$B$200,F$1)+COUNTIFS($A$1:$A$200,F$1,$B$1:$B$200,$D8)</f>
        <v>1</v>
      </c>
      <c r="G8" s="19" t="n">
        <f aca="false">COUNTIFS($A$1:$A$200,$D8,$B$1:$B$200,G$1)+COUNTIFS($A$1:$A$200,G$1,$B$1:$B$200,$D8)</f>
        <v>1</v>
      </c>
      <c r="H8" s="19" t="n">
        <f aca="false">COUNTIFS($A$1:$A$200,$D8,$B$1:$B$200,H$1)+COUNTIFS($A$1:$A$200,H$1,$B$1:$B$200,$D8)</f>
        <v>1</v>
      </c>
      <c r="I8" s="19" t="n">
        <f aca="false">COUNTIFS($A$1:$A$200,$D8,$B$1:$B$200,I$1)+COUNTIFS($A$1:$A$200,I$1,$B$1:$B$200,$D8)</f>
        <v>0</v>
      </c>
      <c r="J8" s="19" t="n">
        <f aca="false">COUNTIFS($A$1:$A$200,$D8,$B$1:$B$200,J$1)+COUNTIFS($A$1:$A$200,J$1,$B$1:$B$200,$D8)</f>
        <v>0</v>
      </c>
      <c r="K8" s="19" t="n">
        <f aca="false">COUNTIFS($A$1:$A$200,$D8,$B$1:$B$200,K$1)+COUNTIFS($A$1:$A$200,K$1,$B$1:$B$200,$D8)</f>
        <v>0</v>
      </c>
      <c r="L8" s="19" t="n">
        <f aca="false">COUNTIFS($A$1:$A$200,$D8,$B$1:$B$200,L$1)+COUNTIFS($A$1:$A$200,L$1,$B$1:$B$200,$D8)</f>
        <v>2</v>
      </c>
      <c r="M8" s="19" t="n">
        <f aca="false">COUNTIFS($A$1:$A$200,$D8,$B$1:$B$200,M$1)+COUNTIFS($A$1:$A$200,M$1,$B$1:$B$200,$D8)</f>
        <v>8</v>
      </c>
      <c r="N8" s="19" t="n">
        <f aca="false">COUNTIFS($A$1:$A$200,$D8,$B$1:$B$200,N$1)+COUNTIFS($A$1:$A$200,N$1,$B$1:$B$200,$D8)</f>
        <v>1</v>
      </c>
    </row>
    <row r="9" customFormat="false" ht="15.75" hidden="false" customHeight="false" outlineLevel="0" collapsed="false">
      <c r="A9" s="0" t="str">
        <f aca="false">'Переформатированный ответ'!I10</f>
        <v>Физика(Шумаков)</v>
      </c>
      <c r="B9" s="0" t="str">
        <f aca="false">'Переформатированный ответ'!J10</f>
        <v>Экономика</v>
      </c>
      <c r="C9" s="4"/>
      <c r="D9" s="30" t="str">
        <f aca="false">'Переформатированный ответ'!N9</f>
        <v>Испанский</v>
      </c>
      <c r="E9" s="19" t="n">
        <f aca="false">COUNTIFS($A$1:$A$200,$D9,$B$1:$B$200,E$1)+COUNTIFS($A$1:$A$200,E$1,$B$1:$B$200,$D9)</f>
        <v>3</v>
      </c>
      <c r="F9" s="19" t="n">
        <f aca="false">COUNTIFS($A$1:$A$200,$D9,$B$1:$B$200,F$1)+COUNTIFS($A$1:$A$200,F$1,$B$1:$B$200,$D9)</f>
        <v>0</v>
      </c>
      <c r="G9" s="19" t="n">
        <f aca="false">COUNTIFS($A$1:$A$200,$D9,$B$1:$B$200,G$1)+COUNTIFS($A$1:$A$200,G$1,$B$1:$B$200,$D9)</f>
        <v>4</v>
      </c>
      <c r="H9" s="19" t="n">
        <f aca="false">COUNTIFS($A$1:$A$200,$D9,$B$1:$B$200,H$1)+COUNTIFS($A$1:$A$200,H$1,$B$1:$B$200,$D9)</f>
        <v>3</v>
      </c>
      <c r="I9" s="19" t="n">
        <f aca="false">COUNTIFS($A$1:$A$200,$D9,$B$1:$B$200,I$1)+COUNTIFS($A$1:$A$200,I$1,$B$1:$B$200,$D9)</f>
        <v>1</v>
      </c>
      <c r="J9" s="19" t="n">
        <f aca="false">COUNTIFS($A$1:$A$200,$D9,$B$1:$B$200,J$1)+COUNTIFS($A$1:$A$200,J$1,$B$1:$B$200,$D9)</f>
        <v>0</v>
      </c>
      <c r="K9" s="19" t="n">
        <f aca="false">COUNTIFS($A$1:$A$200,$D9,$B$1:$B$200,K$1)+COUNTIFS($A$1:$A$200,K$1,$B$1:$B$200,$D9)</f>
        <v>2</v>
      </c>
      <c r="L9" s="19" t="n">
        <f aca="false">COUNTIFS($A$1:$A$200,$D9,$B$1:$B$200,L$1)+COUNTIFS($A$1:$A$200,L$1,$B$1:$B$200,$D9)</f>
        <v>2</v>
      </c>
      <c r="M9" s="19" t="n">
        <f aca="false">COUNTIFS($A$1:$A$200,$D9,$B$1:$B$200,M$1)+COUNTIFS($A$1:$A$200,M$1,$B$1:$B$200,$D9)</f>
        <v>6</v>
      </c>
      <c r="N9" s="19" t="n">
        <f aca="false">COUNTIFS($A$1:$A$200,$D9,$B$1:$B$200,N$1)+COUNTIFS($A$1:$A$200,N$1,$B$1:$B$200,$D9)</f>
        <v>2</v>
      </c>
    </row>
    <row r="10" customFormat="false" ht="15.75" hidden="false" customHeight="false" outlineLevel="0" collapsed="false">
      <c r="A10" s="0" t="str">
        <f aca="false">'Переформатированный ответ'!I11</f>
        <v>Физика(Шумаков)</v>
      </c>
      <c r="B10" s="0" t="str">
        <f aca="false">'Переформатированный ответ'!J11</f>
        <v>Программирование(Шульга)</v>
      </c>
      <c r="C10" s="4"/>
      <c r="D10" s="29" t="str">
        <f aca="false">'Переформатированный ответ'!N10</f>
        <v>Право</v>
      </c>
      <c r="E10" s="19" t="n">
        <f aca="false">COUNTIFS($A$1:$A$200,$D10,$B$1:$B$200,E$1)+COUNTIFS($A$1:$A$200,E$1,$B$1:$B$200,$D10)</f>
        <v>0</v>
      </c>
      <c r="F10" s="19" t="n">
        <f aca="false">COUNTIFS($A$1:$A$200,$D10,$B$1:$B$200,F$1)+COUNTIFS($A$1:$A$200,F$1,$B$1:$B$200,$D10)</f>
        <v>0</v>
      </c>
      <c r="G10" s="19" t="n">
        <f aca="false">COUNTIFS($A$1:$A$200,$D10,$B$1:$B$200,G$1)+COUNTIFS($A$1:$A$200,G$1,$B$1:$B$200,$D10)</f>
        <v>0</v>
      </c>
      <c r="H10" s="19" t="n">
        <f aca="false">COUNTIFS($A$1:$A$200,$D10,$B$1:$B$200,H$1)+COUNTIFS($A$1:$A$200,H$1,$B$1:$B$200,$D10)</f>
        <v>1</v>
      </c>
      <c r="I10" s="19" t="n">
        <f aca="false">COUNTIFS($A$1:$A$200,$D10,$B$1:$B$200,I$1)+COUNTIFS($A$1:$A$200,I$1,$B$1:$B$200,$D10)</f>
        <v>0</v>
      </c>
      <c r="J10" s="19" t="n">
        <f aca="false">COUNTIFS($A$1:$A$200,$D10,$B$1:$B$200,J$1)+COUNTIFS($A$1:$A$200,J$1,$B$1:$B$200,$D10)</f>
        <v>0</v>
      </c>
      <c r="K10" s="19" t="n">
        <f aca="false">COUNTIFS($A$1:$A$200,$D10,$B$1:$B$200,K$1)+COUNTIFS($A$1:$A$200,K$1,$B$1:$B$200,$D10)</f>
        <v>8</v>
      </c>
      <c r="L10" s="19" t="n">
        <f aca="false">COUNTIFS($A$1:$A$200,$D10,$B$1:$B$200,L$1)+COUNTIFS($A$1:$A$200,L$1,$B$1:$B$200,$D10)</f>
        <v>6</v>
      </c>
      <c r="M10" s="19" t="n">
        <f aca="false">COUNTIFS($A$1:$A$200,$D10,$B$1:$B$200,M$1)+COUNTIFS($A$1:$A$200,M$1,$B$1:$B$200,$D10)</f>
        <v>0</v>
      </c>
      <c r="N10" s="19" t="n">
        <f aca="false">COUNTIFS($A$1:$A$200,$D10,$B$1:$B$200,N$1)+COUNTIFS($A$1:$A$200,N$1,$B$1:$B$200,$D10)</f>
        <v>3</v>
      </c>
    </row>
    <row r="11" customFormat="false" ht="15.75" hidden="false" customHeight="false" outlineLevel="0" collapsed="false">
      <c r="A11" s="0" t="str">
        <f aca="false">'Переформатированный ответ'!I12</f>
        <v>Математика(Кудык)</v>
      </c>
      <c r="B11" s="0" t="str">
        <f aca="false">'Переформатированный ответ'!J12</f>
        <v>Биоинформатика</v>
      </c>
      <c r="C11" s="4"/>
      <c r="D11" s="30" t="str">
        <f aca="false">'Переформатированный ответ'!N11</f>
        <v>Программирование(Шульга)</v>
      </c>
      <c r="E11" s="19" t="n">
        <f aca="false">COUNTIFS($A$1:$A$200,$D11,$B$1:$B$200,E$1)+COUNTIFS($A$1:$A$200,E$1,$B$1:$B$200,$D11)</f>
        <v>3</v>
      </c>
      <c r="F11" s="19" t="n">
        <f aca="false">COUNTIFS($A$1:$A$200,$D11,$B$1:$B$200,F$1)+COUNTIFS($A$1:$A$200,F$1,$B$1:$B$200,$D11)</f>
        <v>4</v>
      </c>
      <c r="G11" s="19" t="n">
        <f aca="false">COUNTIFS($A$1:$A$200,$D11,$B$1:$B$200,G$1)+COUNTIFS($A$1:$A$200,G$1,$B$1:$B$200,$D11)</f>
        <v>1</v>
      </c>
      <c r="H11" s="19" t="n">
        <f aca="false">COUNTIFS($A$1:$A$200,$D11,$B$1:$B$200,H$1)+COUNTIFS($A$1:$A$200,H$1,$B$1:$B$200,$D11)</f>
        <v>5</v>
      </c>
      <c r="I11" s="19" t="n">
        <f aca="false">COUNTIFS($A$1:$A$200,$D11,$B$1:$B$200,I$1)+COUNTIFS($A$1:$A$200,I$1,$B$1:$B$200,$D11)</f>
        <v>0</v>
      </c>
      <c r="J11" s="19" t="n">
        <f aca="false">COUNTIFS($A$1:$A$200,$D11,$B$1:$B$200,J$1)+COUNTIFS($A$1:$A$200,J$1,$B$1:$B$200,$D11)</f>
        <v>2</v>
      </c>
      <c r="K11" s="19" t="n">
        <f aca="false">COUNTIFS($A$1:$A$200,$D11,$B$1:$B$200,K$1)+COUNTIFS($A$1:$A$200,K$1,$B$1:$B$200,$D11)</f>
        <v>1</v>
      </c>
      <c r="L11" s="19" t="n">
        <f aca="false">COUNTIFS($A$1:$A$200,$D11,$B$1:$B$200,L$1)+COUNTIFS($A$1:$A$200,L$1,$B$1:$B$200,$D11)</f>
        <v>2</v>
      </c>
      <c r="M11" s="19" t="n">
        <f aca="false">COUNTIFS($A$1:$A$200,$D11,$B$1:$B$200,M$1)+COUNTIFS($A$1:$A$200,M$1,$B$1:$B$200,$D11)</f>
        <v>3</v>
      </c>
      <c r="N11" s="19" t="n">
        <f aca="false">COUNTIFS($A$1:$A$200,$D11,$B$1:$B$200,N$1)+COUNTIFS($A$1:$A$200,N$1,$B$1:$B$200,$D11)</f>
        <v>0</v>
      </c>
    </row>
    <row r="12" customFormat="false" ht="15.75" hidden="false" customHeight="false" outlineLevel="0" collapsed="false">
      <c r="A12" s="0" t="str">
        <f aca="false">'Переформатированный ответ'!I13</f>
        <v>Программирование(Свет)</v>
      </c>
      <c r="B12" s="0" t="str">
        <f aca="false">'Переформатированный ответ'!J13</f>
        <v>Физика(Шумаков)</v>
      </c>
      <c r="C12" s="4"/>
      <c r="D12" s="4"/>
    </row>
    <row r="13" customFormat="false" ht="15.75" hidden="false" customHeight="false" outlineLevel="0" collapsed="false">
      <c r="A13" s="0" t="str">
        <f aca="false">'Переформатированный ответ'!I14</f>
        <v>Физика(Шумаков)</v>
      </c>
      <c r="B13" s="0" t="str">
        <f aca="false">'Переформатированный ответ'!J14</f>
        <v>Математика(Кудык)</v>
      </c>
      <c r="C13" s="4"/>
      <c r="D13" s="4"/>
    </row>
    <row r="14" customFormat="false" ht="15.75" hidden="false" customHeight="false" outlineLevel="0" collapsed="false">
      <c r="A14" s="0" t="str">
        <f aca="false">'Переформатированный ответ'!I15</f>
        <v>Математика(Кудык)</v>
      </c>
      <c r="B14" s="0" t="str">
        <f aca="false">'Переформатированный ответ'!J15</f>
        <v>Физика(Рутберг)</v>
      </c>
    </row>
    <row r="15" customFormat="false" ht="15.75" hidden="false" customHeight="false" outlineLevel="0" collapsed="false">
      <c r="A15" s="0" t="e">
        <f aca="false">#REF!</f>
        <v>#REF!</v>
      </c>
      <c r="B15" s="0" t="e">
        <f aca="false">#REF!</f>
        <v>#REF!</v>
      </c>
    </row>
    <row r="16" customFormat="false" ht="15.75" hidden="false" customHeight="false" outlineLevel="0" collapsed="false">
      <c r="A16" s="0" t="str">
        <f aca="false">'Переформатированный ответ'!I16</f>
        <v>Математика(Кудык)</v>
      </c>
      <c r="B16" s="0" t="str">
        <f aca="false">'Переформатированный ответ'!J16</f>
        <v>Биоинформатика</v>
      </c>
    </row>
    <row r="17" customFormat="false" ht="15.75" hidden="false" customHeight="false" outlineLevel="0" collapsed="false">
      <c r="A17" s="0" t="str">
        <f aca="false">'Переформатированный ответ'!I17</f>
        <v>Программирование(Свет)</v>
      </c>
      <c r="B17" s="0" t="str">
        <f aca="false">'Переформатированный ответ'!J17</f>
        <v>Биоинформатика</v>
      </c>
    </row>
    <row r="18" customFormat="false" ht="15.75" hidden="false" customHeight="false" outlineLevel="0" collapsed="false">
      <c r="A18" s="0" t="str">
        <f aca="false">'Переформатированный ответ'!I18</f>
        <v>Физика(Рутберг)</v>
      </c>
      <c r="B18" s="0" t="str">
        <f aca="false">'Переформатированный ответ'!J18</f>
        <v>Испанский</v>
      </c>
    </row>
    <row r="19" customFormat="false" ht="15.75" hidden="false" customHeight="false" outlineLevel="0" collapsed="false">
      <c r="A19" s="0" t="str">
        <f aca="false">'Переформатированный ответ'!I19</f>
        <v>Биоинформатика</v>
      </c>
      <c r="B19" s="0" t="str">
        <f aca="false">'Переформатированный ответ'!J19</f>
        <v>Экономика</v>
      </c>
    </row>
    <row r="20" customFormat="false" ht="15.75" hidden="false" customHeight="false" outlineLevel="0" collapsed="false">
      <c r="A20" s="0" t="e">
        <f aca="false">#REF!</f>
        <v>#REF!</v>
      </c>
      <c r="B20" s="0" t="e">
        <f aca="false">#REF!</f>
        <v>#REF!</v>
      </c>
    </row>
    <row r="21" customFormat="false" ht="15.75" hidden="false" customHeight="false" outlineLevel="0" collapsed="false">
      <c r="A21" s="0" t="str">
        <f aca="false">'Переформатированный ответ'!I20</f>
        <v>Биоинформатика</v>
      </c>
      <c r="B21" s="0" t="str">
        <f aca="false">'Переформатированный ответ'!J20</f>
        <v>Математика(Кудык)</v>
      </c>
    </row>
    <row r="22" customFormat="false" ht="15.75" hidden="false" customHeight="false" outlineLevel="0" collapsed="false">
      <c r="A22" s="0" t="str">
        <f aca="false">'Переформатированный ответ'!I21</f>
        <v>Программирование(Свет)</v>
      </c>
      <c r="B22" s="0" t="str">
        <f aca="false">'Переформатированный ответ'!J21</f>
        <v>Математика(Кудык)</v>
      </c>
    </row>
    <row r="23" customFormat="false" ht="15.75" hidden="false" customHeight="false" outlineLevel="0" collapsed="false">
      <c r="A23" s="0" t="str">
        <f aca="false">'Переформатированный ответ'!I22</f>
        <v>Программирование(Шульга)</v>
      </c>
      <c r="B23" s="0" t="str">
        <f aca="false">'Переформатированный ответ'!J22</f>
        <v>Математика(Строженко)</v>
      </c>
    </row>
    <row r="24" customFormat="false" ht="15.75" hidden="false" customHeight="false" outlineLevel="0" collapsed="false">
      <c r="A24" s="0" t="e">
        <f aca="false">#REF!</f>
        <v>#REF!</v>
      </c>
      <c r="B24" s="0" t="e">
        <f aca="false">#REF!</f>
        <v>#REF!</v>
      </c>
    </row>
    <row r="25" customFormat="false" ht="15.75" hidden="false" customHeight="false" outlineLevel="0" collapsed="false">
      <c r="A25" s="0" t="str">
        <f aca="false">'Переформатированный ответ'!I23</f>
        <v>Физика(Рутберг)</v>
      </c>
      <c r="B25" s="0" t="str">
        <f aca="false">'Переформатированный ответ'!J23</f>
        <v>Программирование(Шульга)</v>
      </c>
    </row>
    <row r="26" customFormat="false" ht="15.75" hidden="false" customHeight="false" outlineLevel="0" collapsed="false">
      <c r="A26" s="0" t="str">
        <f aca="false">'Переформатированный ответ'!I24</f>
        <v>Биоинформатика</v>
      </c>
      <c r="B26" s="0" t="str">
        <f aca="false">'Переформатированный ответ'!J24</f>
        <v>Физика(Рутберг)</v>
      </c>
    </row>
    <row r="27" customFormat="false" ht="15.75" hidden="false" customHeight="false" outlineLevel="0" collapsed="false">
      <c r="A27" s="0" t="str">
        <f aca="false">'Переформатированный ответ'!I25</f>
        <v>Программирование(Шульга)</v>
      </c>
      <c r="B27" s="0" t="n">
        <f aca="false">'Переформатированный ответ'!J25</f>
        <v>0</v>
      </c>
    </row>
    <row r="28" customFormat="false" ht="15.75" hidden="false" customHeight="false" outlineLevel="0" collapsed="false">
      <c r="A28" s="0" t="str">
        <f aca="false">'Переформатированный ответ'!I26</f>
        <v>Право</v>
      </c>
      <c r="B28" s="0" t="str">
        <f aca="false">'Переформатированный ответ'!J26</f>
        <v>Программирование(Шульга)</v>
      </c>
    </row>
    <row r="29" customFormat="false" ht="15.75" hidden="false" customHeight="false" outlineLevel="0" collapsed="false">
      <c r="A29" s="0" t="str">
        <f aca="false">'Переформатированный ответ'!I27</f>
        <v>Физика(Шумаков)</v>
      </c>
      <c r="B29" s="0" t="str">
        <f aca="false">'Переформатированный ответ'!J27</f>
        <v>Программирование(Шульга)</v>
      </c>
    </row>
    <row r="30" customFormat="false" ht="15.75" hidden="false" customHeight="false" outlineLevel="0" collapsed="false">
      <c r="A30" s="0" t="str">
        <f aca="false">'Переформатированный ответ'!I28</f>
        <v>Физика(Рутберг)</v>
      </c>
      <c r="B30" s="0" t="str">
        <f aca="false">'Переформатированный ответ'!J28</f>
        <v>Физика(Шумаков)</v>
      </c>
    </row>
    <row r="31" customFormat="false" ht="15.75" hidden="false" customHeight="false" outlineLevel="0" collapsed="false">
      <c r="A31" s="0" t="str">
        <f aca="false">'Переформатированный ответ'!I29</f>
        <v>Право</v>
      </c>
      <c r="B31" s="0" t="str">
        <f aca="false">'Переформатированный ответ'!J29</f>
        <v>Экономика</v>
      </c>
    </row>
    <row r="32" customFormat="false" ht="15.75" hidden="false" customHeight="false" outlineLevel="0" collapsed="false">
      <c r="A32" s="0" t="e">
        <f aca="false">#REF!</f>
        <v>#REF!</v>
      </c>
      <c r="B32" s="0" t="e">
        <f aca="false">#REF!</f>
        <v>#REF!</v>
      </c>
    </row>
    <row r="33" customFormat="false" ht="15.75" hidden="false" customHeight="false" outlineLevel="0" collapsed="false">
      <c r="A33" s="0" t="str">
        <f aca="false">'Переформатированный ответ'!I30</f>
        <v>Испанский</v>
      </c>
      <c r="B33" s="0" t="str">
        <f aca="false">'Переформатированный ответ'!J30</f>
        <v>Испанский</v>
      </c>
    </row>
    <row r="34" customFormat="false" ht="15.75" hidden="false" customHeight="false" outlineLevel="0" collapsed="false">
      <c r="A34" s="0" t="str">
        <f aca="false">'Переформатированный ответ'!I31</f>
        <v>Биоинформатика</v>
      </c>
      <c r="B34" s="0" t="str">
        <f aca="false">'Переформатированный ответ'!J31</f>
        <v>Испанский</v>
      </c>
    </row>
    <row r="35" customFormat="false" ht="15.75" hidden="false" customHeight="false" outlineLevel="0" collapsed="false">
      <c r="A35" s="0" t="str">
        <f aca="false">'Переформатированный ответ'!I32</f>
        <v>Физика(Рутберг)</v>
      </c>
      <c r="B35" s="0" t="str">
        <f aca="false">'Переформатированный ответ'!J32</f>
        <v>Математика(Кудык)</v>
      </c>
    </row>
    <row r="36" customFormat="false" ht="15.75" hidden="false" customHeight="false" outlineLevel="0" collapsed="false">
      <c r="A36" s="0" t="str">
        <f aca="false">'Переформатированный ответ'!I33</f>
        <v>Физика(Рутберг)</v>
      </c>
      <c r="B36" s="0" t="str">
        <f aca="false">'Переформатированный ответ'!J33</f>
        <v>Экономика</v>
      </c>
    </row>
    <row r="37" customFormat="false" ht="15.75" hidden="false" customHeight="false" outlineLevel="0" collapsed="false">
      <c r="A37" s="0" t="str">
        <f aca="false">'Переформатированный ответ'!I34</f>
        <v>Физика(Шумаков)</v>
      </c>
      <c r="B37" s="0" t="str">
        <f aca="false">'Переформатированный ответ'!J34</f>
        <v>Математика(Кудык)</v>
      </c>
    </row>
    <row r="38" customFormat="false" ht="15.75" hidden="false" customHeight="false" outlineLevel="0" collapsed="false">
      <c r="A38" s="0" t="str">
        <f aca="false">'Переформатированный ответ'!I35</f>
        <v>Испанский</v>
      </c>
      <c r="B38" s="0" t="str">
        <f aca="false">'Переформатированный ответ'!J35</f>
        <v>Биоинформатика</v>
      </c>
    </row>
    <row r="39" customFormat="false" ht="15.75" hidden="false" customHeight="false" outlineLevel="0" collapsed="false">
      <c r="A39" s="0" t="n">
        <f aca="false">'Переформатированный ответ'!I36</f>
        <v>0</v>
      </c>
      <c r="B39" s="0" t="str">
        <f aca="false">'Переформатированный ответ'!J36</f>
        <v>Программирование(Шульга)</v>
      </c>
    </row>
    <row r="40" customFormat="false" ht="15.75" hidden="false" customHeight="false" outlineLevel="0" collapsed="false">
      <c r="A40" s="0" t="str">
        <f aca="false">'Переформатированный ответ'!I37</f>
        <v>Математика(Кудык)</v>
      </c>
      <c r="B40" s="0" t="str">
        <f aca="false">'Переформатированный ответ'!J37</f>
        <v>Математика(Строженко)</v>
      </c>
    </row>
    <row r="41" customFormat="false" ht="15.75" hidden="false" customHeight="false" outlineLevel="0" collapsed="false">
      <c r="A41" s="0" t="str">
        <f aca="false">'Переформатированный ответ'!I38</f>
        <v>Программирование(Свет)</v>
      </c>
      <c r="B41" s="0" t="str">
        <f aca="false">'Переформатированный ответ'!J38</f>
        <v>Математика(Кудык)</v>
      </c>
    </row>
    <row r="42" customFormat="false" ht="15.75" hidden="false" customHeight="false" outlineLevel="0" collapsed="false">
      <c r="A42" s="0" t="str">
        <f aca="false">'Переформатированный ответ'!I39</f>
        <v>Программирование(Свет)</v>
      </c>
      <c r="B42" s="0" t="str">
        <f aca="false">'Переформатированный ответ'!J39</f>
        <v>Испанский</v>
      </c>
    </row>
    <row r="43" customFormat="false" ht="15.75" hidden="false" customHeight="false" outlineLevel="0" collapsed="false">
      <c r="A43" s="0" t="str">
        <f aca="false">'Переформатированный ответ'!I40</f>
        <v>Программирование(Свет)</v>
      </c>
      <c r="B43" s="0" t="str">
        <f aca="false">'Переформатированный ответ'!J40</f>
        <v>Математика(Строженко)</v>
      </c>
    </row>
    <row r="44" customFormat="false" ht="15.75" hidden="false" customHeight="false" outlineLevel="0" collapsed="false">
      <c r="A44" s="0" t="e">
        <f aca="false">#REF!</f>
        <v>#REF!</v>
      </c>
      <c r="B44" s="0" t="e">
        <f aca="false">#REF!</f>
        <v>#REF!</v>
      </c>
    </row>
    <row r="45" customFormat="false" ht="15.75" hidden="false" customHeight="false" outlineLevel="0" collapsed="false">
      <c r="A45" s="0" t="str">
        <f aca="false">'Переформатированный ответ'!I41</f>
        <v>Право</v>
      </c>
      <c r="B45" s="0" t="str">
        <f aca="false">'Переформатированный ответ'!J41</f>
        <v>Испанский</v>
      </c>
    </row>
    <row r="46" customFormat="false" ht="15.75" hidden="false" customHeight="false" outlineLevel="0" collapsed="false">
      <c r="A46" s="0" t="str">
        <f aca="false">'Переформатированный ответ'!I42</f>
        <v>Программирование(Свет)</v>
      </c>
      <c r="B46" s="0" t="str">
        <f aca="false">'Переформатированный ответ'!J42</f>
        <v>Биоинформатика</v>
      </c>
    </row>
    <row r="47" customFormat="false" ht="15.75" hidden="false" customHeight="false" outlineLevel="0" collapsed="false">
      <c r="A47" s="0" t="str">
        <f aca="false">'Переформатированный ответ'!I43</f>
        <v>Программирование(Свет)</v>
      </c>
      <c r="B47" s="0" t="str">
        <f aca="false">'Переформатированный ответ'!J43</f>
        <v>Математика(Строженко)</v>
      </c>
    </row>
    <row r="48" customFormat="false" ht="15.75" hidden="false" customHeight="false" outlineLevel="0" collapsed="false">
      <c r="A48" s="0" t="str">
        <f aca="false">'Переформатированный ответ'!I44</f>
        <v>Право</v>
      </c>
      <c r="B48" s="0" t="str">
        <f aca="false">'Переформатированный ответ'!J44</f>
        <v>Экономика</v>
      </c>
    </row>
    <row r="49" customFormat="false" ht="15.75" hidden="false" customHeight="false" outlineLevel="0" collapsed="false">
      <c r="A49" s="0" t="str">
        <f aca="false">'Переформатированный ответ'!I45</f>
        <v>Право</v>
      </c>
      <c r="B49" s="0" t="str">
        <f aca="false">'Переформатированный ответ'!J45</f>
        <v>Математика(Кудык)</v>
      </c>
    </row>
    <row r="50" customFormat="false" ht="15.75" hidden="false" customHeight="false" outlineLevel="0" collapsed="false">
      <c r="A50" s="0" t="str">
        <f aca="false">'Переформатированный ответ'!I46</f>
        <v>Физика(Шумаков)</v>
      </c>
      <c r="B50" s="0" t="str">
        <f aca="false">'Переформатированный ответ'!J46</f>
        <v>Математика(Строженко)</v>
      </c>
    </row>
    <row r="51" customFormat="false" ht="15.75" hidden="false" customHeight="false" outlineLevel="0" collapsed="false">
      <c r="A51" s="0" t="str">
        <f aca="false">'Переформатированный ответ'!I47</f>
        <v>Испанский</v>
      </c>
      <c r="B51" s="0" t="str">
        <f aca="false">'Переформатированный ответ'!J47</f>
        <v>Программирование(Шульга)</v>
      </c>
    </row>
    <row r="52" customFormat="false" ht="15.75" hidden="false" customHeight="false" outlineLevel="0" collapsed="false">
      <c r="A52" s="0" t="str">
        <f aca="false">'Переформатированный ответ'!I48</f>
        <v>Программирование(Шульга)</v>
      </c>
      <c r="B52" s="0" t="str">
        <f aca="false">'Переформатированный ответ'!J48</f>
        <v>Математика(Строженко)</v>
      </c>
    </row>
    <row r="53" customFormat="false" ht="15.75" hidden="false" customHeight="false" outlineLevel="0" collapsed="false">
      <c r="A53" s="0" t="str">
        <f aca="false">'Переформатированный ответ'!I49</f>
        <v>Программирование(Шульга)</v>
      </c>
      <c r="B53" s="0" t="str">
        <f aca="false">'Переформатированный ответ'!J49</f>
        <v>Математика(Кудык)</v>
      </c>
    </row>
    <row r="54" customFormat="false" ht="15.75" hidden="false" customHeight="false" outlineLevel="0" collapsed="false">
      <c r="A54" s="0" t="str">
        <f aca="false">'Переформатированный ответ'!I50</f>
        <v>Право</v>
      </c>
      <c r="B54" s="0" t="str">
        <f aca="false">'Переформатированный ответ'!J50</f>
        <v>Экономика</v>
      </c>
    </row>
    <row r="55" customFormat="false" ht="15.75" hidden="false" customHeight="false" outlineLevel="0" collapsed="false">
      <c r="A55" s="0" t="str">
        <f aca="false">'Переформатированный ответ'!I51</f>
        <v>Право</v>
      </c>
      <c r="B55" s="0" t="str">
        <f aca="false">'Переформатированный ответ'!J51</f>
        <v>Испанский</v>
      </c>
    </row>
    <row r="56" customFormat="false" ht="15.75" hidden="false" customHeight="false" outlineLevel="0" collapsed="false">
      <c r="A56" s="0" t="str">
        <f aca="false">'Переформатированный ответ'!I52</f>
        <v>Физика(Шумаков)</v>
      </c>
      <c r="B56" s="0" t="str">
        <f aca="false">'Переформатированный ответ'!J52</f>
        <v>Математика(Строженко)</v>
      </c>
    </row>
    <row r="57" customFormat="false" ht="15.75" hidden="false" customHeight="false" outlineLevel="0" collapsed="false">
      <c r="A57" s="0" t="str">
        <f aca="false">'Переформатированный ответ'!I53</f>
        <v>Право</v>
      </c>
      <c r="B57" s="0" t="str">
        <f aca="false">'Переформатированный ответ'!J53</f>
        <v>Испанский</v>
      </c>
    </row>
    <row r="58" customFormat="false" ht="15.75" hidden="false" customHeight="false" outlineLevel="0" collapsed="false">
      <c r="A58" s="0" t="e">
        <f aca="false">#REF!</f>
        <v>#REF!</v>
      </c>
      <c r="B58" s="0" t="e">
        <f aca="false">#REF!</f>
        <v>#REF!</v>
      </c>
    </row>
    <row r="59" customFormat="false" ht="15.75" hidden="false" customHeight="false" outlineLevel="0" collapsed="false">
      <c r="A59" s="0" t="str">
        <f aca="false">'Переформатированный ответ'!I54</f>
        <v>Физика(Рутберг)</v>
      </c>
      <c r="B59" s="0" t="str">
        <f aca="false">'Переформатированный ответ'!J54</f>
        <v>Испанский</v>
      </c>
    </row>
    <row r="60" customFormat="false" ht="15.75" hidden="false" customHeight="false" outlineLevel="0" collapsed="false">
      <c r="A60" s="0" t="str">
        <f aca="false">'Переформатированный ответ'!I55</f>
        <v>Программирование(Свет)</v>
      </c>
      <c r="B60" s="0" t="str">
        <f aca="false">'Переформатированный ответ'!J55</f>
        <v>Физика(Шумаков)</v>
      </c>
    </row>
    <row r="61" customFormat="false" ht="15.75" hidden="false" customHeight="false" outlineLevel="0" collapsed="false">
      <c r="A61" s="0" t="str">
        <f aca="false">'Переформатированный ответ'!I56</f>
        <v>Программирование(Свет)</v>
      </c>
      <c r="B61" s="0" t="str">
        <f aca="false">'Переформатированный ответ'!J56</f>
        <v>Биоинформатика</v>
      </c>
    </row>
    <row r="62" customFormat="false" ht="15.75" hidden="false" customHeight="false" outlineLevel="0" collapsed="false">
      <c r="A62" s="0" t="str">
        <f aca="false">'Переформатированный ответ'!I57</f>
        <v>Программирование(Шульга)</v>
      </c>
      <c r="B62" s="0" t="n">
        <f aca="false">'Переформатированный ответ'!J57</f>
        <v>0</v>
      </c>
    </row>
    <row r="63" customFormat="false" ht="15.75" hidden="false" customHeight="false" outlineLevel="0" collapsed="false">
      <c r="A63" s="0" t="str">
        <f aca="false">'Переформатированный ответ'!I58</f>
        <v>Физика(Рутберг)</v>
      </c>
      <c r="B63" s="0" t="str">
        <f aca="false">'Переформатированный ответ'!J58</f>
        <v>Испанский</v>
      </c>
    </row>
    <row r="64" customFormat="false" ht="15.75" hidden="false" customHeight="false" outlineLevel="0" collapsed="false">
      <c r="A64" s="0" t="str">
        <f aca="false">'Переформатированный ответ'!I59</f>
        <v>Математика(Кудык)</v>
      </c>
      <c r="B64" s="0" t="str">
        <f aca="false">'Переформатированный ответ'!J59</f>
        <v>Испанский</v>
      </c>
    </row>
    <row r="65" customFormat="false" ht="15.75" hidden="false" customHeight="false" outlineLevel="0" collapsed="false">
      <c r="A65" s="0" t="str">
        <f aca="false">'Переформатированный ответ'!I60</f>
        <v>Испанский</v>
      </c>
      <c r="B65" s="0" t="str">
        <f aca="false">'Переформатированный ответ'!J60</f>
        <v>Биоинформатика</v>
      </c>
    </row>
    <row r="66" customFormat="false" ht="15.75" hidden="false" customHeight="false" outlineLevel="0" collapsed="false">
      <c r="A66" s="0" t="str">
        <f aca="false">'Переформатированный ответ'!I61</f>
        <v>Математика(Кудык)</v>
      </c>
      <c r="B66" s="0" t="str">
        <f aca="false">'Переформатированный ответ'!J61</f>
        <v>Программирование(Шульга)</v>
      </c>
    </row>
    <row r="67" customFormat="false" ht="15.75" hidden="false" customHeight="false" outlineLevel="0" collapsed="false">
      <c r="A67" s="0" t="str">
        <f aca="false">'Переформатированный ответ'!I62</f>
        <v>Математика(Кудык)</v>
      </c>
      <c r="B67" s="0" t="str">
        <f aca="false">'Переформатированный ответ'!J62</f>
        <v>Экономика</v>
      </c>
    </row>
    <row r="68" customFormat="false" ht="15.75" hidden="false" customHeight="false" outlineLevel="0" collapsed="false">
      <c r="A68" s="0" t="e">
        <f aca="false">#REF!</f>
        <v>#REF!</v>
      </c>
      <c r="B68" s="0" t="e">
        <f aca="false">#REF!</f>
        <v>#REF!</v>
      </c>
    </row>
    <row r="69" customFormat="false" ht="15.75" hidden="false" customHeight="false" outlineLevel="0" collapsed="false">
      <c r="A69" s="0" t="str">
        <f aca="false">'Переформатированный ответ'!I63</f>
        <v>Математика(Кудык)</v>
      </c>
      <c r="B69" s="0" t="str">
        <f aca="false">'Переформатированный ответ'!J63</f>
        <v>Испанский</v>
      </c>
    </row>
    <row r="70" customFormat="false" ht="15.75" hidden="false" customHeight="false" outlineLevel="0" collapsed="false">
      <c r="A70" s="0" t="str">
        <f aca="false">'Переформатированный ответ'!I64</f>
        <v>Физика(Рутберг)</v>
      </c>
      <c r="B70" s="0" t="str">
        <f aca="false">'Переформатированный ответ'!J64</f>
        <v>Физика(Шумаков)</v>
      </c>
    </row>
    <row r="71" customFormat="false" ht="15.75" hidden="false" customHeight="false" outlineLevel="0" collapsed="false">
      <c r="A71" s="0" t="str">
        <f aca="false">'Переформатированный ответ'!I65</f>
        <v>Физика(Шумаков)</v>
      </c>
      <c r="B71" s="0" t="str">
        <f aca="false">'Переформатированный ответ'!J65</f>
        <v>Программирование(Шульга)</v>
      </c>
    </row>
    <row r="72" customFormat="false" ht="15.75" hidden="false" customHeight="false" outlineLevel="0" collapsed="false">
      <c r="A72" s="0" t="str">
        <f aca="false">'Переформатированный ответ'!I66</f>
        <v>Право</v>
      </c>
      <c r="B72" s="0" t="str">
        <f aca="false">'Переформатированный ответ'!J66</f>
        <v>Программирование(Шульга)</v>
      </c>
    </row>
    <row r="73" customFormat="false" ht="15.75" hidden="false" customHeight="false" outlineLevel="0" collapsed="false">
      <c r="A73" s="0" t="str">
        <f aca="false">'Переформатированный ответ'!I67</f>
        <v>Математика(Кудык)</v>
      </c>
      <c r="B73" s="0" t="str">
        <f aca="false">'Переформатированный ответ'!J67</f>
        <v>Программирование(Шульга)</v>
      </c>
    </row>
    <row r="74" customFormat="false" ht="15.75" hidden="false" customHeight="false" outlineLevel="0" collapsed="false">
      <c r="A74" s="0" t="str">
        <f aca="false">'Переформатированный ответ'!I68</f>
        <v>Право</v>
      </c>
      <c r="B74" s="0" t="str">
        <f aca="false">'Переформатированный ответ'!J68</f>
        <v>Экономика</v>
      </c>
    </row>
    <row r="75" customFormat="false" ht="15.75" hidden="false" customHeight="false" outlineLevel="0" collapsed="false">
      <c r="A75" s="0" t="str">
        <f aca="false">'Переформатированный ответ'!I69</f>
        <v>Биоинформатика</v>
      </c>
      <c r="B75" s="0" t="str">
        <f aca="false">'Переформатированный ответ'!J69</f>
        <v>Математика(Строженко)</v>
      </c>
    </row>
    <row r="76" customFormat="false" ht="15.75" hidden="false" customHeight="false" outlineLevel="0" collapsed="false">
      <c r="A76" s="0" t="str">
        <f aca="false">'Переформатированный ответ'!I70</f>
        <v>Физика(Шумаков)</v>
      </c>
      <c r="B76" s="0" t="str">
        <f aca="false">'Переформатированный ответ'!J70</f>
        <v>Математика(Строженко)</v>
      </c>
    </row>
    <row r="77" customFormat="false" ht="15.75" hidden="false" customHeight="false" outlineLevel="0" collapsed="false">
      <c r="A77" s="0" t="e">
        <f aca="false">#REF!</f>
        <v>#REF!</v>
      </c>
      <c r="B77" s="0" t="e">
        <f aca="false">#REF!</f>
        <v>#REF!</v>
      </c>
    </row>
    <row r="78" customFormat="false" ht="15.75" hidden="false" customHeight="false" outlineLevel="0" collapsed="false">
      <c r="A78" s="0" t="e">
        <f aca="false">#REF!</f>
        <v>#REF!</v>
      </c>
      <c r="B78" s="0" t="e">
        <f aca="false">#REF!</f>
        <v>#REF!</v>
      </c>
    </row>
    <row r="79" customFormat="false" ht="15.75" hidden="false" customHeight="false" outlineLevel="0" collapsed="false">
      <c r="A79" s="0" t="str">
        <f aca="false">'Переформатированный ответ'!I71</f>
        <v>Физика(Рутберг)</v>
      </c>
      <c r="B79" s="0" t="str">
        <f aca="false">'Переформатированный ответ'!J71</f>
        <v>Математика(Кудык)</v>
      </c>
    </row>
    <row r="80" customFormat="false" ht="15.75" hidden="false" customHeight="false" outlineLevel="0" collapsed="false">
      <c r="A80" s="0" t="str">
        <f aca="false">'Переформатированный ответ'!I72</f>
        <v>Физика(Шумаков)</v>
      </c>
      <c r="B80" s="0" t="str">
        <f aca="false">'Переформатированный ответ'!J72</f>
        <v>Программирование(Шульга)</v>
      </c>
    </row>
    <row r="81" customFormat="false" ht="15.75" hidden="false" customHeight="false" outlineLevel="0" collapsed="false">
      <c r="A81" s="0" t="str">
        <f aca="false">'Переформатированный ответ'!I73</f>
        <v>Математика(Кудык)</v>
      </c>
      <c r="B81" s="0" t="str">
        <f aca="false">'Переформатированный ответ'!J73</f>
        <v>Программирование(Шульга)</v>
      </c>
    </row>
    <row r="82" customFormat="false" ht="15.75" hidden="false" customHeight="false" outlineLevel="0" collapsed="false">
      <c r="A82" s="0" t="e">
        <f aca="false">#REF!</f>
        <v>#REF!</v>
      </c>
      <c r="B82" s="0" t="e">
        <f aca="false">#REF!</f>
        <v>#REF!</v>
      </c>
    </row>
    <row r="83" customFormat="false" ht="15.75" hidden="false" customHeight="false" outlineLevel="0" collapsed="false">
      <c r="A83" s="0" t="str">
        <f aca="false">'Переформатированный ответ'!I74</f>
        <v>Программирование(Шульга)</v>
      </c>
      <c r="B83" s="0" t="str">
        <f aca="false">'Переформатированный ответ'!J74</f>
        <v>Математика(Кудык)</v>
      </c>
    </row>
    <row r="84" customFormat="false" ht="15.75" hidden="false" customHeight="false" outlineLevel="0" collapsed="false">
      <c r="A84" s="0" t="str">
        <f aca="false">'Переформатированный ответ'!I75</f>
        <v>Программирование(Свет)</v>
      </c>
      <c r="B84" s="0" t="str">
        <f aca="false">'Переформатированный ответ'!J75</f>
        <v>Физика(Шумаков)</v>
      </c>
    </row>
    <row r="85" customFormat="false" ht="15.75" hidden="false" customHeight="false" outlineLevel="0" collapsed="false">
      <c r="A85" s="0" t="str">
        <f aca="false">'Переформатированный ответ'!I76</f>
        <v>Математика(Кудык)</v>
      </c>
      <c r="B85" s="0" t="str">
        <f aca="false">'Переформатированный ответ'!J76</f>
        <v>Физика(Рутберг)</v>
      </c>
    </row>
    <row r="86" customFormat="false" ht="15.75" hidden="false" customHeight="false" outlineLevel="0" collapsed="false">
      <c r="A86" s="0" t="str">
        <f aca="false">'Переформатированный ответ'!I77</f>
        <v>Физика(Рутберг)</v>
      </c>
      <c r="B86" s="0" t="str">
        <f aca="false">'Переформатированный ответ'!J77</f>
        <v>Математика(Кудык)</v>
      </c>
    </row>
    <row r="87" customFormat="false" ht="15.75" hidden="false" customHeight="false" outlineLevel="0" collapsed="false">
      <c r="A87" s="0" t="str">
        <f aca="false">'Переформатированный ответ'!I78</f>
        <v>Испанский</v>
      </c>
      <c r="B87" s="0" t="str">
        <f aca="false">'Переформатированный ответ'!J78</f>
        <v>Программирование(Шульга)</v>
      </c>
    </row>
    <row r="88" customFormat="false" ht="15.75" hidden="false" customHeight="false" outlineLevel="0" collapsed="false">
      <c r="A88" s="0" t="e">
        <f aca="false">#REF!</f>
        <v>#REF!</v>
      </c>
      <c r="B88" s="0" t="e">
        <f aca="false">#REF!</f>
        <v>#REF!</v>
      </c>
    </row>
    <row r="89" customFormat="false" ht="15.75" hidden="false" customHeight="false" outlineLevel="0" collapsed="false">
      <c r="A89" s="0" t="e">
        <f aca="false">#REF!</f>
        <v>#REF!</v>
      </c>
      <c r="B89" s="0" t="e">
        <f aca="false">#REF!</f>
        <v>#REF!</v>
      </c>
    </row>
    <row r="90" customFormat="false" ht="15.75" hidden="false" customHeight="false" outlineLevel="0" collapsed="false">
      <c r="A90" s="0" t="str">
        <f aca="false">'Переформатированный ответ'!I79</f>
        <v>Биоинформатика</v>
      </c>
      <c r="B90" s="0" t="str">
        <f aca="false">'Переформатированный ответ'!J79</f>
        <v>Программирование(Шульга)</v>
      </c>
    </row>
    <row r="91" customFormat="false" ht="15.75" hidden="false" customHeight="false" outlineLevel="0" collapsed="false">
      <c r="A91" s="0" t="str">
        <f aca="false">'Переформатированный ответ'!I79</f>
        <v>Биоинформатика</v>
      </c>
      <c r="B91" s="0" t="str">
        <f aca="false">'Переформатированный ответ'!J79</f>
        <v>Программирование(Шульга)</v>
      </c>
    </row>
    <row r="92" customFormat="false" ht="15.75" hidden="false" customHeight="false" outlineLevel="0" collapsed="false">
      <c r="A92" s="0" t="str">
        <f aca="false">'Переформатированный ответ'!I80</f>
        <v>Физика(Рутберг)</v>
      </c>
      <c r="B92" s="0" t="str">
        <f aca="false">'Переформатированный ответ'!J80</f>
        <v>Испанский</v>
      </c>
    </row>
    <row r="93" customFormat="false" ht="15.75" hidden="false" customHeight="false" outlineLevel="0" collapsed="false">
      <c r="A93" s="0" t="e">
        <f aca="false">'Переформатированный ответ'!I80:I81</f>
        <v>#VALUE!</v>
      </c>
      <c r="B93" s="0" t="e">
        <f aca="false">'Переформатированный ответ'!J80:J81</f>
        <v>#VALUE!</v>
      </c>
    </row>
    <row r="94" customFormat="false" ht="15.75" hidden="false" customHeight="false" outlineLevel="0" collapsed="false">
      <c r="A94" s="0" t="e">
        <f aca="false">'Переформатированный ответ'!I81:I82</f>
        <v>#VALUE!</v>
      </c>
      <c r="B94" s="0" t="e">
        <f aca="false">'Переформатированный ответ'!J81:J82</f>
        <v>#VALUE!</v>
      </c>
    </row>
    <row r="95" customFormat="false" ht="15.75" hidden="false" customHeight="false" outlineLevel="0" collapsed="false">
      <c r="A95" s="0" t="e">
        <f aca="false">'Переформатированный ответ'!I82:I83</f>
        <v>#VALUE!</v>
      </c>
      <c r="B95" s="0" t="e">
        <f aca="false">'Переформатированный ответ'!J82:J83</f>
        <v>#VALUE!</v>
      </c>
    </row>
    <row r="96" customFormat="false" ht="15.75" hidden="false" customHeight="false" outlineLevel="0" collapsed="false">
      <c r="A96" s="0" t="e">
        <f aca="false">'Переформатированный ответ'!I83:I84</f>
        <v>#VALUE!</v>
      </c>
      <c r="B96" s="0" t="e">
        <f aca="false">'Переформатированный ответ'!J83:J84</f>
        <v>#VALUE!</v>
      </c>
    </row>
    <row r="97" customFormat="false" ht="15.75" hidden="false" customHeight="false" outlineLevel="0" collapsed="false">
      <c r="A97" s="0" t="e">
        <f aca="false">'Переформатированный ответ'!I84:I85</f>
        <v>#VALUE!</v>
      </c>
      <c r="B97" s="0" t="e">
        <f aca="false">'Переформатированный ответ'!J84:J85</f>
        <v>#VALUE!</v>
      </c>
    </row>
    <row r="98" customFormat="false" ht="15.75" hidden="false" customHeight="false" outlineLevel="0" collapsed="false">
      <c r="A98" s="0" t="e">
        <f aca="false">'Переформатированный ответ'!I85:I86</f>
        <v>#VALUE!</v>
      </c>
      <c r="B98" s="0" t="e">
        <f aca="false">'Переформатированный ответ'!J85:J86</f>
        <v>#VALUE!</v>
      </c>
    </row>
    <row r="99" customFormat="false" ht="15.75" hidden="false" customHeight="false" outlineLevel="0" collapsed="false">
      <c r="A99" s="0" t="e">
        <f aca="false">#REF!</f>
        <v>#REF!</v>
      </c>
      <c r="B99" s="0" t="e">
        <f aca="false">#REF!</f>
        <v>#REF!</v>
      </c>
    </row>
    <row r="100" customFormat="false" ht="15.75" hidden="false" customHeight="false" outlineLevel="0" collapsed="false">
      <c r="A100" s="0" t="str">
        <f aca="false">'Переформатированный ответ'!I86</f>
        <v>Физика(Рутберг)</v>
      </c>
      <c r="B100" s="0" t="str">
        <f aca="false">'Переформатированный ответ'!J86</f>
        <v>Математика(Кудык)</v>
      </c>
    </row>
    <row r="101" customFormat="false" ht="15.75" hidden="false" customHeight="false" outlineLevel="0" collapsed="false">
      <c r="A101" s="0" t="str">
        <f aca="false">'Переформатированный ответ'!I87</f>
        <v>Программирование(Свет)</v>
      </c>
      <c r="B101" s="0" t="str">
        <f aca="false">'Переформатированный ответ'!J87</f>
        <v>Математика(Кудык)</v>
      </c>
    </row>
    <row r="102" customFormat="false" ht="15.75" hidden="false" customHeight="false" outlineLevel="0" collapsed="false">
      <c r="A102" s="0" t="str">
        <f aca="false">'Переформатированный ответ'!I88</f>
        <v>Право</v>
      </c>
      <c r="B102" s="0" t="str">
        <f aca="false">'Переформатированный ответ'!J88</f>
        <v>Программирование(Шульга)</v>
      </c>
    </row>
    <row r="103" customFormat="false" ht="15.75" hidden="false" customHeight="false" outlineLevel="0" collapsed="false">
      <c r="A103" s="0" t="str">
        <f aca="false">'Переформатированный ответ'!I89</f>
        <v>Право</v>
      </c>
      <c r="B103" s="0" t="str">
        <f aca="false">'Переформатированный ответ'!J89</f>
        <v>Испанский</v>
      </c>
    </row>
    <row r="104" customFormat="false" ht="15.75" hidden="false" customHeight="false" outlineLevel="0" collapsed="false">
      <c r="A104" s="0" t="str">
        <f aca="false">'Переформатированный ответ'!I90</f>
        <v>Испанский</v>
      </c>
      <c r="B104" s="0" t="str">
        <f aca="false">'Переформатированный ответ'!J90</f>
        <v>Экономика</v>
      </c>
    </row>
    <row r="105" customFormat="false" ht="15.75" hidden="false" customHeight="false" outlineLevel="0" collapsed="false">
      <c r="A105" s="0" t="str">
        <f aca="false">'Переформатированный ответ'!I91</f>
        <v>Право</v>
      </c>
      <c r="B105" s="0" t="str">
        <f aca="false">'Переформатированный ответ'!J91</f>
        <v>Экономика</v>
      </c>
    </row>
    <row r="106" customFormat="false" ht="15.75" hidden="false" customHeight="false" outlineLevel="0" collapsed="false">
      <c r="A106" s="0" t="str">
        <f aca="false">'Переформатированный ответ'!I92</f>
        <v>Математика(Кудык)</v>
      </c>
      <c r="B106" s="0" t="str">
        <f aca="false">'Переформатированный ответ'!J92</f>
        <v>Физика(Рутберг)</v>
      </c>
    </row>
    <row r="107" customFormat="false" ht="15.75" hidden="false" customHeight="false" outlineLevel="0" collapsed="false">
      <c r="A107" s="0" t="str">
        <f aca="false">'Переформатированный ответ'!I93</f>
        <v>Право</v>
      </c>
      <c r="B107" s="0" t="str">
        <f aca="false">'Переформатированный ответ'!J93</f>
        <v>Экономика</v>
      </c>
    </row>
    <row r="108" customFormat="false" ht="15.75" hidden="false" customHeight="false" outlineLevel="0" collapsed="false">
      <c r="A108" s="0" t="str">
        <f aca="false">'Переформатированный ответ'!I94</f>
        <v>Биоинформатика</v>
      </c>
      <c r="B108" s="0" t="str">
        <f aca="false">'Переформатированный ответ'!J94</f>
        <v>Физика(Рутберг)</v>
      </c>
    </row>
    <row r="109" customFormat="false" ht="15.75" hidden="false" customHeight="false" outlineLevel="0" collapsed="false">
      <c r="A109" s="0" t="str">
        <f aca="false">'Переформатированный ответ'!I95</f>
        <v>Право</v>
      </c>
      <c r="B109" s="0" t="str">
        <f aca="false">'Переформатированный ответ'!J95</f>
        <v>Экономика</v>
      </c>
    </row>
    <row r="110" customFormat="false" ht="15.75" hidden="false" customHeight="false" outlineLevel="0" collapsed="false">
      <c r="A110" s="0" t="str">
        <f aca="false">'Переформатированный ответ'!I96</f>
        <v>Испанский</v>
      </c>
      <c r="B110" s="0" t="n">
        <f aca="false">'Переформатированный ответ'!J96</f>
        <v>0</v>
      </c>
    </row>
    <row r="111" customFormat="false" ht="15.75" hidden="false" customHeight="false" outlineLevel="0" collapsed="false">
      <c r="A111" s="0" t="str">
        <f aca="false">'Переформатированный ответ'!I97</f>
        <v>Программирование(Шульга)</v>
      </c>
      <c r="B111" s="0" t="str">
        <f aca="false">'Переформатированный ответ'!J97</f>
        <v>Экономика</v>
      </c>
    </row>
    <row r="112" customFormat="false" ht="15.75" hidden="false" customHeight="false" outlineLevel="0" collapsed="false">
      <c r="A112" s="0" t="e">
        <f aca="false">#REF!</f>
        <v>#REF!</v>
      </c>
      <c r="B112" s="0" t="e">
        <f aca="false">#REF!</f>
        <v>#REF!</v>
      </c>
    </row>
    <row r="113" customFormat="false" ht="15.75" hidden="false" customHeight="false" outlineLevel="0" collapsed="false">
      <c r="A113" s="0" t="e">
        <f aca="false">#REF!</f>
        <v>#REF!</v>
      </c>
      <c r="B113" s="0" t="e">
        <f aca="false">#REF!</f>
        <v>#REF!</v>
      </c>
    </row>
    <row r="114" customFormat="false" ht="15.75" hidden="false" customHeight="false" outlineLevel="0" collapsed="false">
      <c r="A114" s="0" t="str">
        <f aca="false">'Переформатированный ответ'!I98</f>
        <v>Программирование(Свет)</v>
      </c>
      <c r="B114" s="0" t="str">
        <f aca="false">'Переформатированный ответ'!J98</f>
        <v>Математика(Строженко)</v>
      </c>
    </row>
    <row r="115" customFormat="false" ht="15.75" hidden="false" customHeight="false" outlineLevel="0" collapsed="false">
      <c r="A115" s="0" t="str">
        <f aca="false">'Переформатированный ответ'!I100</f>
        <v>Физика(Рутберг)</v>
      </c>
      <c r="B115" s="0" t="str">
        <f aca="false">'Переформатированный ответ'!J100</f>
        <v>Математика(Кудык)</v>
      </c>
    </row>
    <row r="116" customFormat="false" ht="15.75" hidden="false" customHeight="false" outlineLevel="0" collapsed="false">
      <c r="A116" s="0" t="e">
        <f aca="false">#REF!</f>
        <v>#REF!</v>
      </c>
      <c r="B116" s="0" t="e">
        <f aca="false">#REF!</f>
        <v>#REF!</v>
      </c>
    </row>
    <row r="117" customFormat="false" ht="15.75" hidden="false" customHeight="false" outlineLevel="0" collapsed="false">
      <c r="A117" s="0" t="str">
        <f aca="false">'Переформатированный ответ'!I101</f>
        <v>Право</v>
      </c>
      <c r="B117" s="0" t="str">
        <f aca="false">'Переформатированный ответ'!J101</f>
        <v>Испанский</v>
      </c>
    </row>
    <row r="118" customFormat="false" ht="15.75" hidden="false" customHeight="false" outlineLevel="0" collapsed="false">
      <c r="A118" s="0" t="str">
        <f aca="false">'Переформатированный ответ'!I102</f>
        <v>Математика(Кудык)</v>
      </c>
      <c r="B118" s="0" t="str">
        <f aca="false">'Переформатированный ответ'!J102</f>
        <v>Физика(Рутберг)</v>
      </c>
    </row>
    <row r="119" customFormat="false" ht="15.75" hidden="false" customHeight="false" outlineLevel="0" collapsed="false">
      <c r="A119" s="0" t="str">
        <f aca="false">'Переформатированный ответ'!I103</f>
        <v>Биоинформатика</v>
      </c>
      <c r="B119" s="0" t="str">
        <f aca="false">'Переформатированный ответ'!J103</f>
        <v>Физика(Шумаков)</v>
      </c>
    </row>
    <row r="120" customFormat="false" ht="15.75" hidden="false" customHeight="false" outlineLevel="0" collapsed="false">
      <c r="A120" s="0" t="e">
        <f aca="false">#REF!</f>
        <v>#REF!</v>
      </c>
      <c r="B120" s="0" t="e">
        <f aca="false">#REF!</f>
        <v>#REF!</v>
      </c>
    </row>
    <row r="121" customFormat="false" ht="15.75" hidden="false" customHeight="false" outlineLevel="0" collapsed="false">
      <c r="A121" s="0" t="str">
        <f aca="false">'Переформатированный ответ'!I104</f>
        <v>Математика(Кудык)</v>
      </c>
      <c r="B121" s="0" t="str">
        <f aca="false">'Переформатированный ответ'!J104</f>
        <v>Физика(Рутберг)</v>
      </c>
    </row>
    <row r="122" customFormat="false" ht="15.75" hidden="false" customHeight="false" outlineLevel="0" collapsed="false">
      <c r="A122" s="0" t="str">
        <f aca="false">'Переформатированный ответ'!I107</f>
        <v>Биоинформатика</v>
      </c>
      <c r="B122" s="0" t="str">
        <f aca="false">'Переформатированный ответ'!J107</f>
        <v>Физика(Шумаков)</v>
      </c>
    </row>
    <row r="123" customFormat="false" ht="15.75" hidden="false" customHeight="false" outlineLevel="0" collapsed="false">
      <c r="A123" s="0" t="str">
        <f aca="false">'Переформатированный ответ'!I108</f>
        <v>Право</v>
      </c>
      <c r="B123" s="0" t="str">
        <f aca="false">'Переформатированный ответ'!J108</f>
        <v>Экономика</v>
      </c>
    </row>
    <row r="124" customFormat="false" ht="15.75" hidden="false" customHeight="false" outlineLevel="0" collapsed="false">
      <c r="A124" s="0" t="str">
        <f aca="false">'Переформатированный ответ'!I109</f>
        <v>Программирование(Шульга)</v>
      </c>
      <c r="B124" s="0" t="str">
        <f aca="false">'Переформатированный ответ'!J109</f>
        <v>Биоинформатика</v>
      </c>
    </row>
    <row r="125" customFormat="false" ht="15.75" hidden="false" customHeight="false" outlineLevel="0" collapsed="false">
      <c r="A125" s="0" t="str">
        <f aca="false">'Переформатированный ответ'!I110</f>
        <v>Программирование(Свет)</v>
      </c>
      <c r="B125" s="0" t="str">
        <f aca="false">'Переформатированный ответ'!J110</f>
        <v>Биоинформатика</v>
      </c>
    </row>
    <row r="126" customFormat="false" ht="15.75" hidden="false" customHeight="false" outlineLevel="0" collapsed="false">
      <c r="A126" s="0" t="str">
        <f aca="false">'Переформатированный ответ'!I111</f>
        <v>Биоинформатика</v>
      </c>
      <c r="B126" s="0" t="str">
        <f aca="false">'Переформатированный ответ'!J111</f>
        <v>Физика(Рутберг)</v>
      </c>
    </row>
    <row r="127" customFormat="false" ht="15.75" hidden="false" customHeight="false" outlineLevel="0" collapsed="false">
      <c r="A127" s="0" t="n">
        <f aca="false">'Переформатированный ответ'!I112</f>
        <v>0</v>
      </c>
      <c r="B127" s="0" t="str">
        <f aca="false">'Переформатированный ответ'!J112</f>
        <v>Испанский</v>
      </c>
    </row>
    <row r="128" customFormat="false" ht="15.75" hidden="false" customHeight="false" outlineLevel="0" collapsed="false">
      <c r="A128" s="0" t="str">
        <f aca="false">'Переформатированный ответ'!I113</f>
        <v>Математика(Кудык)</v>
      </c>
      <c r="B128" s="0" t="str">
        <f aca="false">'Переформатированный ответ'!J113</f>
        <v>Испанский</v>
      </c>
    </row>
    <row r="129" customFormat="false" ht="15.75" hidden="false" customHeight="false" outlineLevel="0" collapsed="false">
      <c r="A129" s="0" t="e">
        <f aca="false">'Переформатированный ответ'!I114</f>
        <v>#N/A</v>
      </c>
      <c r="B129" s="0" t="e">
        <f aca="false">'Переформатированный ответ'!J114</f>
        <v>#N/A</v>
      </c>
    </row>
    <row r="130" customFormat="false" ht="15.75" hidden="false" customHeight="false" outlineLevel="0" collapsed="false">
      <c r="A130" s="0" t="e">
        <f aca="false">'Переформатированный ответ'!I115</f>
        <v>#N/A</v>
      </c>
      <c r="B130" s="0" t="e">
        <f aca="false">'Переформатированный ответ'!J115</f>
        <v>#N/A</v>
      </c>
    </row>
    <row r="131" customFormat="false" ht="15.75" hidden="false" customHeight="false" outlineLevel="0" collapsed="false">
      <c r="A131" s="0" t="e">
        <f aca="false">'Переформатированный ответ'!I116</f>
        <v>#N/A</v>
      </c>
      <c r="B131" s="0" t="e">
        <f aca="false">'Переформатированный ответ'!J116</f>
        <v>#N/A</v>
      </c>
    </row>
    <row r="132" customFormat="false" ht="15.75" hidden="false" customHeight="false" outlineLevel="0" collapsed="false">
      <c r="A132" s="0" t="e">
        <f aca="false">'Переформатированный ответ'!I117</f>
        <v>#N/A</v>
      </c>
      <c r="B132" s="0" t="e">
        <f aca="false">'Переформатированный ответ'!J117</f>
        <v>#N/A</v>
      </c>
    </row>
    <row r="133" customFormat="false" ht="15.75" hidden="false" customHeight="false" outlineLevel="0" collapsed="false">
      <c r="A133" s="0" t="e">
        <f aca="false">'Переформатированный ответ'!I118</f>
        <v>#N/A</v>
      </c>
      <c r="B133" s="0" t="e">
        <f aca="false">'Переформатированный ответ'!J118</f>
        <v>#N/A</v>
      </c>
    </row>
    <row r="134" customFormat="false" ht="15.75" hidden="false" customHeight="false" outlineLevel="0" collapsed="false">
      <c r="A134" s="0" t="e">
        <f aca="false">'Переформатированный ответ'!I119</f>
        <v>#N/A</v>
      </c>
      <c r="B134" s="0" t="e">
        <f aca="false">'Переформатированный ответ'!J119</f>
        <v>#N/A</v>
      </c>
    </row>
    <row r="135" customFormat="false" ht="15.75" hidden="false" customHeight="false" outlineLevel="0" collapsed="false">
      <c r="A135" s="0" t="e">
        <f aca="false">'Переформатированный ответ'!I120</f>
        <v>#N/A</v>
      </c>
      <c r="B135" s="0" t="e">
        <f aca="false">'Переформатированный ответ'!J120</f>
        <v>#N/A</v>
      </c>
    </row>
    <row r="136" customFormat="false" ht="15.75" hidden="false" customHeight="false" outlineLevel="0" collapsed="false">
      <c r="A136" s="0" t="e">
        <f aca="false">'Переформатированный ответ'!I121</f>
        <v>#N/A</v>
      </c>
      <c r="B136" s="0" t="e">
        <f aca="false">'Переформатированный ответ'!J121</f>
        <v>#N/A</v>
      </c>
    </row>
    <row r="137" customFormat="false" ht="15.75" hidden="false" customHeight="false" outlineLevel="0" collapsed="false">
      <c r="A137" s="0" t="e">
        <f aca="false">'Переформатированный ответ'!I122</f>
        <v>#N/A</v>
      </c>
      <c r="B137" s="0" t="e">
        <f aca="false">'Переформатированный ответ'!J122</f>
        <v>#N/A</v>
      </c>
    </row>
    <row r="138" customFormat="false" ht="15.75" hidden="false" customHeight="false" outlineLevel="0" collapsed="false">
      <c r="A138" s="0" t="e">
        <f aca="false">'Переформатированный ответ'!I123</f>
        <v>#N/A</v>
      </c>
      <c r="B138" s="0" t="e">
        <f aca="false">'Переформатированный ответ'!J123</f>
        <v>#N/A</v>
      </c>
    </row>
    <row r="139" customFormat="false" ht="15.75" hidden="false" customHeight="false" outlineLevel="0" collapsed="false">
      <c r="A139" s="0" t="e">
        <f aca="false">'Переформатированный ответ'!I124</f>
        <v>#N/A</v>
      </c>
      <c r="B139" s="0" t="e">
        <f aca="false">'Переформатированный ответ'!J124</f>
        <v>#N/A</v>
      </c>
    </row>
    <row r="140" customFormat="false" ht="15.75" hidden="false" customHeight="false" outlineLevel="0" collapsed="false">
      <c r="A140" s="0" t="e">
        <f aca="false">'Переформатированный ответ'!I125</f>
        <v>#N/A</v>
      </c>
      <c r="B140" s="0" t="e">
        <f aca="false">'Переформатированный ответ'!J125</f>
        <v>#N/A</v>
      </c>
    </row>
    <row r="141" customFormat="false" ht="15.75" hidden="false" customHeight="false" outlineLevel="0" collapsed="false">
      <c r="A141" s="0" t="e">
        <f aca="false">'Переформатированный ответ'!I126</f>
        <v>#N/A</v>
      </c>
      <c r="B141" s="0" t="e">
        <f aca="false">'Переформатированный ответ'!J126</f>
        <v>#N/A</v>
      </c>
    </row>
    <row r="142" customFormat="false" ht="15.75" hidden="false" customHeight="false" outlineLevel="0" collapsed="false">
      <c r="A142" s="0" t="e">
        <f aca="false">'Переформатированный ответ'!I127</f>
        <v>#N/A</v>
      </c>
      <c r="B142" s="0" t="e">
        <f aca="false">'Переформатированный ответ'!J127</f>
        <v>#N/A</v>
      </c>
    </row>
    <row r="143" customFormat="false" ht="15.75" hidden="false" customHeight="false" outlineLevel="0" collapsed="false">
      <c r="A143" s="0" t="e">
        <f aca="false">'Переформатированный ответ'!I128</f>
        <v>#N/A</v>
      </c>
      <c r="B143" s="0" t="e">
        <f aca="false">'Переформатированный ответ'!J128</f>
        <v>#N/A</v>
      </c>
    </row>
    <row r="144" customFormat="false" ht="15.75" hidden="false" customHeight="false" outlineLevel="0" collapsed="false">
      <c r="A144" s="0" t="e">
        <f aca="false">'Переформатированный ответ'!I129</f>
        <v>#N/A</v>
      </c>
      <c r="B144" s="0" t="e">
        <f aca="false">'Переформатированный ответ'!J129</f>
        <v>#N/A</v>
      </c>
    </row>
    <row r="145" customFormat="false" ht="15.75" hidden="false" customHeight="false" outlineLevel="0" collapsed="false">
      <c r="A145" s="0" t="e">
        <f aca="false">'Переформатированный ответ'!I130</f>
        <v>#N/A</v>
      </c>
      <c r="B145" s="0" t="e">
        <f aca="false">'Переформатированный ответ'!J130</f>
        <v>#N/A</v>
      </c>
    </row>
    <row r="146" customFormat="false" ht="15.75" hidden="false" customHeight="false" outlineLevel="0" collapsed="false">
      <c r="A146" s="0" t="e">
        <f aca="false">'Переформатированный ответ'!I131</f>
        <v>#N/A</v>
      </c>
      <c r="B146" s="0" t="e">
        <f aca="false">'Переформатированный ответ'!J131</f>
        <v>#N/A</v>
      </c>
    </row>
    <row r="147" customFormat="false" ht="15.75" hidden="false" customHeight="false" outlineLevel="0" collapsed="false">
      <c r="A147" s="0" t="e">
        <f aca="false">'Переформатированный ответ'!I132</f>
        <v>#N/A</v>
      </c>
      <c r="B147" s="0" t="e">
        <f aca="false">'Переформатированный ответ'!J132</f>
        <v>#N/A</v>
      </c>
    </row>
    <row r="148" customFormat="false" ht="15.75" hidden="false" customHeight="false" outlineLevel="0" collapsed="false">
      <c r="A148" s="0" t="e">
        <f aca="false">'Переформатированный ответ'!I133</f>
        <v>#N/A</v>
      </c>
      <c r="B148" s="0" t="e">
        <f aca="false">'Переформатированный ответ'!J133</f>
        <v>#N/A</v>
      </c>
    </row>
    <row r="149" customFormat="false" ht="15.75" hidden="false" customHeight="false" outlineLevel="0" collapsed="false">
      <c r="A149" s="0" t="e">
        <f aca="false">'Переформатированный ответ'!I134</f>
        <v>#N/A</v>
      </c>
      <c r="B149" s="0" t="e">
        <f aca="false">'Переформатированный ответ'!J134</f>
        <v>#N/A</v>
      </c>
    </row>
    <row r="150" customFormat="false" ht="15.75" hidden="false" customHeight="false" outlineLevel="0" collapsed="false">
      <c r="A150" s="0" t="e">
        <f aca="false">'Переформатированный ответ'!I135</f>
        <v>#N/A</v>
      </c>
      <c r="B150" s="0" t="e">
        <f aca="false">'Переформатированный ответ'!J135</f>
        <v>#N/A</v>
      </c>
    </row>
    <row r="151" customFormat="false" ht="15.75" hidden="false" customHeight="false" outlineLevel="0" collapsed="false">
      <c r="A151" s="0" t="e">
        <f aca="false">'Переформатированный ответ'!I136</f>
        <v>#N/A</v>
      </c>
      <c r="B151" s="0" t="e">
        <f aca="false">'Переформатированный ответ'!J136</f>
        <v>#N/A</v>
      </c>
    </row>
    <row r="152" customFormat="false" ht="15.75" hidden="false" customHeight="false" outlineLevel="0" collapsed="false">
      <c r="A152" s="0" t="e">
        <f aca="false">'Переформатированный ответ'!I137</f>
        <v>#N/A</v>
      </c>
      <c r="B152" s="0" t="e">
        <f aca="false">'Переформатированный ответ'!J137</f>
        <v>#N/A</v>
      </c>
    </row>
    <row r="153" customFormat="false" ht="15.75" hidden="false" customHeight="false" outlineLevel="0" collapsed="false">
      <c r="A153" s="0" t="e">
        <f aca="false">'Переформатированный ответ'!I138</f>
        <v>#N/A</v>
      </c>
      <c r="B153" s="0" t="e">
        <f aca="false">'Переформатированный ответ'!J138</f>
        <v>#N/A</v>
      </c>
    </row>
    <row r="154" customFormat="false" ht="15.75" hidden="false" customHeight="false" outlineLevel="0" collapsed="false">
      <c r="A154" s="0" t="e">
        <f aca="false">'Переформатированный ответ'!I139</f>
        <v>#N/A</v>
      </c>
      <c r="B154" s="0" t="e">
        <f aca="false">'Переформатированный ответ'!J139</f>
        <v>#N/A</v>
      </c>
    </row>
    <row r="155" customFormat="false" ht="15.75" hidden="false" customHeight="false" outlineLevel="0" collapsed="false">
      <c r="A155" s="0" t="e">
        <f aca="false">'Переформатированный ответ'!I140</f>
        <v>#N/A</v>
      </c>
      <c r="B155" s="0" t="e">
        <f aca="false">'Переформатированный ответ'!J140</f>
        <v>#N/A</v>
      </c>
    </row>
    <row r="156" customFormat="false" ht="15.75" hidden="false" customHeight="false" outlineLevel="0" collapsed="false">
      <c r="A156" s="0" t="e">
        <f aca="false">'Переформатированный ответ'!I141</f>
        <v>#N/A</v>
      </c>
      <c r="B156" s="0" t="e">
        <f aca="false">'Переформатированный ответ'!J141</f>
        <v>#N/A</v>
      </c>
    </row>
    <row r="157" customFormat="false" ht="15.75" hidden="false" customHeight="false" outlineLevel="0" collapsed="false">
      <c r="A157" s="0" t="e">
        <f aca="false">'Переформатированный ответ'!I142</f>
        <v>#N/A</v>
      </c>
      <c r="B157" s="0" t="e">
        <f aca="false">'Переформатированный ответ'!J142</f>
        <v>#N/A</v>
      </c>
    </row>
    <row r="158" customFormat="false" ht="15.75" hidden="false" customHeight="false" outlineLevel="0" collapsed="false">
      <c r="A158" s="0" t="e">
        <f aca="false">'Переформатированный ответ'!I143</f>
        <v>#N/A</v>
      </c>
      <c r="B158" s="0" t="e">
        <f aca="false">'Переформатированный ответ'!J143</f>
        <v>#N/A</v>
      </c>
    </row>
    <row r="159" customFormat="false" ht="15.75" hidden="false" customHeight="false" outlineLevel="0" collapsed="false">
      <c r="A159" s="0" t="e">
        <f aca="false">'Переформатированный ответ'!I144</f>
        <v>#N/A</v>
      </c>
      <c r="B159" s="0" t="e">
        <f aca="false">'Переформатированный ответ'!J144</f>
        <v>#N/A</v>
      </c>
    </row>
    <row r="160" customFormat="false" ht="15.75" hidden="false" customHeight="false" outlineLevel="0" collapsed="false">
      <c r="A160" s="0" t="e">
        <f aca="false">'Переформатированный ответ'!I145</f>
        <v>#N/A</v>
      </c>
      <c r="B160" s="0" t="e">
        <f aca="false">'Переформатированный ответ'!J145</f>
        <v>#N/A</v>
      </c>
    </row>
    <row r="161" customFormat="false" ht="15.75" hidden="false" customHeight="false" outlineLevel="0" collapsed="false">
      <c r="A161" s="0" t="e">
        <f aca="false">'Переформатированный ответ'!I146</f>
        <v>#N/A</v>
      </c>
      <c r="B161" s="0" t="e">
        <f aca="false">'Переформатированный ответ'!J146</f>
        <v>#N/A</v>
      </c>
    </row>
    <row r="162" customFormat="false" ht="15.75" hidden="false" customHeight="false" outlineLevel="0" collapsed="false">
      <c r="A162" s="0" t="n">
        <f aca="false">'Переформатированный ответ'!I147</f>
        <v>0</v>
      </c>
      <c r="B162" s="0" t="e">
        <f aca="false">'Переформатированный ответ'!J147</f>
        <v>#N/A</v>
      </c>
    </row>
    <row r="163" customFormat="false" ht="15.75" hidden="false" customHeight="false" outlineLevel="0" collapsed="false">
      <c r="A163" s="0" t="n">
        <f aca="false">'Переформатированный ответ'!I148</f>
        <v>0</v>
      </c>
      <c r="B163" s="0" t="e">
        <f aca="false">'Переформатированный ответ'!J148</f>
        <v>#N/A</v>
      </c>
    </row>
    <row r="164" customFormat="false" ht="15.75" hidden="false" customHeight="false" outlineLevel="0" collapsed="false">
      <c r="A164" s="0" t="n">
        <f aca="false">'Переформатированный ответ'!I149</f>
        <v>0</v>
      </c>
      <c r="B164" s="0" t="e">
        <f aca="false">'Переформатированный ответ'!J149</f>
        <v>#N/A</v>
      </c>
    </row>
    <row r="165" customFormat="false" ht="15.75" hidden="false" customHeight="false" outlineLevel="0" collapsed="false">
      <c r="A165" s="0" t="n">
        <f aca="false">'Переформатированный ответ'!I150</f>
        <v>0</v>
      </c>
      <c r="B165" s="0" t="e">
        <f aca="false">'Переформатированный ответ'!J150</f>
        <v>#N/A</v>
      </c>
    </row>
    <row r="166" customFormat="false" ht="15.75" hidden="false" customHeight="false" outlineLevel="0" collapsed="false">
      <c r="A166" s="0" t="n">
        <f aca="false">'Переформатированный ответ'!I151</f>
        <v>0</v>
      </c>
      <c r="B166" s="0" t="e">
        <f aca="false">'Переформатированный ответ'!J151</f>
        <v>#N/A</v>
      </c>
    </row>
    <row r="167" customFormat="false" ht="15.75" hidden="false" customHeight="false" outlineLevel="0" collapsed="false">
      <c r="A167" s="0" t="n">
        <f aca="false">'Переформатированный ответ'!I152</f>
        <v>0</v>
      </c>
      <c r="B167" s="0" t="e">
        <f aca="false">'Переформатированный ответ'!J152</f>
        <v>#N/A</v>
      </c>
    </row>
    <row r="168" customFormat="false" ht="15.75" hidden="false" customHeight="false" outlineLevel="0" collapsed="false">
      <c r="A168" s="0" t="n">
        <f aca="false">'Переформатированный ответ'!I153</f>
        <v>0</v>
      </c>
      <c r="B168" s="0" t="e">
        <f aca="false">'Переформатированный ответ'!J153</f>
        <v>#N/A</v>
      </c>
    </row>
    <row r="169" customFormat="false" ht="15.75" hidden="false" customHeight="false" outlineLevel="0" collapsed="false">
      <c r="A169" s="0" t="n">
        <f aca="false">'Переформатированный ответ'!I154</f>
        <v>0</v>
      </c>
      <c r="B169" s="0" t="e">
        <f aca="false">'Переформатированный ответ'!J154</f>
        <v>#N/A</v>
      </c>
    </row>
    <row r="170" customFormat="false" ht="15.75" hidden="false" customHeight="false" outlineLevel="0" collapsed="false">
      <c r="A170" s="0" t="n">
        <f aca="false">'Переформатированный ответ'!I155</f>
        <v>0</v>
      </c>
      <c r="B170" s="0" t="e">
        <f aca="false">'Переформатированный ответ'!J155</f>
        <v>#N/A</v>
      </c>
    </row>
    <row r="171" customFormat="false" ht="15.75" hidden="false" customHeight="false" outlineLevel="0" collapsed="false">
      <c r="A171" s="0" t="n">
        <f aca="false">'Переформатированный ответ'!I156</f>
        <v>0</v>
      </c>
      <c r="B171" s="0" t="e">
        <f aca="false">'Переформатированный ответ'!J156</f>
        <v>#N/A</v>
      </c>
    </row>
    <row r="172" customFormat="false" ht="15.75" hidden="false" customHeight="false" outlineLevel="0" collapsed="false">
      <c r="A172" s="0" t="n">
        <f aca="false">'Переформатированный ответ'!I157</f>
        <v>0</v>
      </c>
      <c r="B172" s="0" t="e">
        <f aca="false">'Переформатированный ответ'!J157</f>
        <v>#N/A</v>
      </c>
    </row>
    <row r="173" customFormat="false" ht="15.75" hidden="false" customHeight="false" outlineLevel="0" collapsed="false">
      <c r="A173" s="0" t="n">
        <f aca="false">'Переформатированный ответ'!I158</f>
        <v>0</v>
      </c>
      <c r="B173" s="0" t="e">
        <f aca="false">'Переформатированный ответ'!J158</f>
        <v>#N/A</v>
      </c>
    </row>
    <row r="174" customFormat="false" ht="15.75" hidden="false" customHeight="false" outlineLevel="0" collapsed="false">
      <c r="A174" s="0" t="n">
        <f aca="false">'Переформатированный ответ'!I159</f>
        <v>0</v>
      </c>
      <c r="B174" s="0" t="e">
        <f aca="false">'Переформатированный ответ'!J159</f>
        <v>#N/A</v>
      </c>
    </row>
    <row r="175" customFormat="false" ht="15.75" hidden="false" customHeight="false" outlineLevel="0" collapsed="false">
      <c r="A175" s="0" t="n">
        <f aca="false">'Переформатированный ответ'!I160</f>
        <v>0</v>
      </c>
      <c r="B175" s="0" t="e">
        <f aca="false">'Переформатированный ответ'!J160</f>
        <v>#N/A</v>
      </c>
    </row>
    <row r="176" customFormat="false" ht="15.75" hidden="false" customHeight="false" outlineLevel="0" collapsed="false">
      <c r="A176" s="0" t="n">
        <f aca="false">'Переформатированный ответ'!I161</f>
        <v>0</v>
      </c>
      <c r="B176" s="0" t="e">
        <f aca="false">'Переформатированный ответ'!J161</f>
        <v>#N/A</v>
      </c>
    </row>
    <row r="177" customFormat="false" ht="15.75" hidden="false" customHeight="false" outlineLevel="0" collapsed="false">
      <c r="A177" s="0" t="n">
        <f aca="false">'Переформатированный ответ'!I162</f>
        <v>0</v>
      </c>
      <c r="B177" s="0" t="e">
        <f aca="false">'Переформатированный ответ'!J162</f>
        <v>#N/A</v>
      </c>
    </row>
    <row r="178" customFormat="false" ht="15.75" hidden="false" customHeight="false" outlineLevel="0" collapsed="false">
      <c r="A178" s="0" t="n">
        <f aca="false">'Переформатированный ответ'!I163</f>
        <v>0</v>
      </c>
      <c r="B178" s="0" t="e">
        <f aca="false">'Переформатированный ответ'!J163</f>
        <v>#N/A</v>
      </c>
    </row>
    <row r="179" customFormat="false" ht="15.75" hidden="false" customHeight="false" outlineLevel="0" collapsed="false">
      <c r="A179" s="0" t="n">
        <f aca="false">'Переформатированный ответ'!I164</f>
        <v>0</v>
      </c>
      <c r="B179" s="0" t="e">
        <f aca="false">'Переформатированный ответ'!J164</f>
        <v>#N/A</v>
      </c>
    </row>
    <row r="180" customFormat="false" ht="15.75" hidden="false" customHeight="false" outlineLevel="0" collapsed="false">
      <c r="A180" s="0" t="n">
        <f aca="false">'Переформатированный ответ'!I165</f>
        <v>0</v>
      </c>
      <c r="B180" s="0" t="e">
        <f aca="false">'Переформатированный ответ'!J165</f>
        <v>#N/A</v>
      </c>
    </row>
    <row r="181" customFormat="false" ht="15.75" hidden="false" customHeight="false" outlineLevel="0" collapsed="false">
      <c r="A181" s="0" t="n">
        <f aca="false">'Переформатированный ответ'!I166</f>
        <v>0</v>
      </c>
      <c r="B181" s="0" t="e">
        <f aca="false">'Переформатированный ответ'!J166</f>
        <v>#N/A</v>
      </c>
    </row>
    <row r="182" customFormat="false" ht="15.75" hidden="false" customHeight="false" outlineLevel="0" collapsed="false">
      <c r="A182" s="0" t="n">
        <f aca="false">'Переформатированный ответ'!I167</f>
        <v>0</v>
      </c>
      <c r="B182" s="0" t="e">
        <f aca="false">'Переформатированный ответ'!J167</f>
        <v>#N/A</v>
      </c>
    </row>
    <row r="183" customFormat="false" ht="15.75" hidden="false" customHeight="false" outlineLevel="0" collapsed="false">
      <c r="A183" s="0" t="n">
        <f aca="false">'Переформатированный ответ'!I168</f>
        <v>0</v>
      </c>
      <c r="B183" s="0" t="e">
        <f aca="false">'Переформатированный ответ'!J168</f>
        <v>#N/A</v>
      </c>
    </row>
    <row r="184" customFormat="false" ht="15.75" hidden="false" customHeight="false" outlineLevel="0" collapsed="false">
      <c r="A184" s="0" t="n">
        <f aca="false">'Переформатированный ответ'!I169</f>
        <v>0</v>
      </c>
      <c r="B184" s="0" t="e">
        <f aca="false">'Переформатированный ответ'!J169</f>
        <v>#N/A</v>
      </c>
    </row>
    <row r="185" customFormat="false" ht="15.75" hidden="false" customHeight="false" outlineLevel="0" collapsed="false">
      <c r="A185" s="0" t="n">
        <f aca="false">'Переформатированный ответ'!I170</f>
        <v>0</v>
      </c>
      <c r="B185" s="0" t="e">
        <f aca="false">'Переформатированный ответ'!J170</f>
        <v>#N/A</v>
      </c>
    </row>
    <row r="186" customFormat="false" ht="15.75" hidden="false" customHeight="false" outlineLevel="0" collapsed="false">
      <c r="A186" s="0" t="n">
        <f aca="false">'Переформатированный ответ'!I171</f>
        <v>0</v>
      </c>
      <c r="B186" s="0" t="e">
        <f aca="false">'Переформатированный ответ'!J171</f>
        <v>#N/A</v>
      </c>
    </row>
    <row r="187" customFormat="false" ht="15.75" hidden="false" customHeight="false" outlineLevel="0" collapsed="false">
      <c r="A187" s="0" t="n">
        <f aca="false">'Переформатированный ответ'!I172</f>
        <v>0</v>
      </c>
      <c r="B187" s="0" t="e">
        <f aca="false">'Переформатированный ответ'!J172</f>
        <v>#N/A</v>
      </c>
    </row>
    <row r="188" customFormat="false" ht="15.75" hidden="false" customHeight="false" outlineLevel="0" collapsed="false">
      <c r="A188" s="0" t="n">
        <f aca="false">'Переформатированный ответ'!I173</f>
        <v>0</v>
      </c>
      <c r="B188" s="0" t="e">
        <f aca="false">'Переформатированный ответ'!J173</f>
        <v>#N/A</v>
      </c>
    </row>
    <row r="189" customFormat="false" ht="15.75" hidden="false" customHeight="false" outlineLevel="0" collapsed="false">
      <c r="A189" s="0" t="n">
        <f aca="false">'Переформатированный ответ'!I174</f>
        <v>0</v>
      </c>
      <c r="B189" s="0" t="e">
        <f aca="false">'Переформатированный ответ'!J174</f>
        <v>#N/A</v>
      </c>
    </row>
    <row r="190" customFormat="false" ht="15.75" hidden="false" customHeight="false" outlineLevel="0" collapsed="false">
      <c r="A190" s="0" t="n">
        <f aca="false">'Переформатированный ответ'!I175</f>
        <v>0</v>
      </c>
      <c r="B190" s="0" t="e">
        <f aca="false">'Переформатированный ответ'!J175</f>
        <v>#N/A</v>
      </c>
    </row>
    <row r="191" customFormat="false" ht="15.75" hidden="false" customHeight="false" outlineLevel="0" collapsed="false">
      <c r="A191" s="0" t="n">
        <f aca="false">'Переформатированный ответ'!I176</f>
        <v>0</v>
      </c>
      <c r="B191" s="0" t="n">
        <f aca="false">'Переформатированный ответ'!J176</f>
        <v>0</v>
      </c>
    </row>
    <row r="192" customFormat="false" ht="15.75" hidden="false" customHeight="false" outlineLevel="0" collapsed="false">
      <c r="A192" s="0" t="n">
        <f aca="false">'Переформатированный ответ'!I177</f>
        <v>0</v>
      </c>
      <c r="B192" s="0" t="n">
        <f aca="false">'Переформатированный ответ'!J177</f>
        <v>0</v>
      </c>
    </row>
    <row r="193" customFormat="false" ht="15.75" hidden="false" customHeight="false" outlineLevel="0" collapsed="false">
      <c r="A193" s="0" t="n">
        <f aca="false">'Переформатированный ответ'!I178</f>
        <v>0</v>
      </c>
      <c r="B193" s="0" t="n">
        <f aca="false">'Переформатированный ответ'!J178</f>
        <v>0</v>
      </c>
    </row>
    <row r="194" customFormat="false" ht="15.75" hidden="false" customHeight="false" outlineLevel="0" collapsed="false">
      <c r="A194" s="0" t="n">
        <f aca="false">'Переформатированный ответ'!I179</f>
        <v>0</v>
      </c>
      <c r="B194" s="0" t="n">
        <f aca="false">'Переформатированный ответ'!J179</f>
        <v>0</v>
      </c>
    </row>
    <row r="195" customFormat="false" ht="15.75" hidden="false" customHeight="false" outlineLevel="0" collapsed="false">
      <c r="A195" s="0" t="n">
        <f aca="false">'Переформатированный ответ'!I180</f>
        <v>0</v>
      </c>
      <c r="B195" s="0" t="n">
        <f aca="false">'Переформатированный ответ'!J180</f>
        <v>0</v>
      </c>
    </row>
    <row r="196" customFormat="false" ht="15.75" hidden="false" customHeight="false" outlineLevel="0" collapsed="false">
      <c r="A196" s="0" t="n">
        <f aca="false">'Переформатированный ответ'!I181</f>
        <v>0</v>
      </c>
      <c r="B196" s="0" t="n">
        <f aca="false">'Переформатированный ответ'!J181</f>
        <v>0</v>
      </c>
    </row>
    <row r="197" customFormat="false" ht="15.75" hidden="false" customHeight="false" outlineLevel="0" collapsed="false">
      <c r="A197" s="0" t="n">
        <f aca="false">'Переформатированный ответ'!I182</f>
        <v>0</v>
      </c>
      <c r="B197" s="0" t="n">
        <f aca="false">'Переформатированный ответ'!J182</f>
        <v>0</v>
      </c>
    </row>
    <row r="198" customFormat="false" ht="15.75" hidden="false" customHeight="false" outlineLevel="0" collapsed="false">
      <c r="A198" s="0" t="n">
        <f aca="false">'Переформатированный ответ'!I183</f>
        <v>0</v>
      </c>
      <c r="B198" s="0" t="n">
        <f aca="false">'Переформатированный ответ'!J183</f>
        <v>0</v>
      </c>
    </row>
    <row r="199" customFormat="false" ht="15.75" hidden="false" customHeight="false" outlineLevel="0" collapsed="false">
      <c r="A199" s="0" t="n">
        <f aca="false">'Переформатированный ответ'!I184</f>
        <v>0</v>
      </c>
      <c r="B199" s="0" t="n">
        <f aca="false">'Переформатированный ответ'!J184</f>
        <v>0</v>
      </c>
    </row>
    <row r="200" customFormat="false" ht="15.75" hidden="false" customHeight="false" outlineLevel="0" collapsed="false">
      <c r="A200" s="0" t="n">
        <f aca="false">'Переформатированный ответ'!I185</f>
        <v>0</v>
      </c>
      <c r="B200" s="0" t="n">
        <f aca="false">'Переформатированный ответ'!J185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8" activeCellId="0" sqref="B8"/>
    </sheetView>
  </sheetViews>
  <sheetFormatPr defaultColWidth="14.48046875"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50"/>
    <col collapsed="false" customWidth="true" hidden="false" outlineLevel="0" max="6" min="6" style="0" width="104.43"/>
    <col collapsed="false" customWidth="true" hidden="false" outlineLevel="0" max="7" min="7" style="0" width="32.71"/>
    <col collapsed="false" customWidth="true" hidden="false" outlineLevel="0" max="10" min="8" style="0" width="21.57"/>
  </cols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7" t="s">
        <v>7</v>
      </c>
      <c r="F1" s="0" t="s">
        <v>8</v>
      </c>
      <c r="G1" s="4" t="s">
        <v>9</v>
      </c>
      <c r="H1" s="0" t="s">
        <v>10</v>
      </c>
      <c r="I1" s="4" t="s">
        <v>57</v>
      </c>
      <c r="J1" s="4" t="s">
        <v>58</v>
      </c>
    </row>
    <row r="2" customFormat="false" ht="15.75" hidden="false" customHeight="false" outlineLevel="0" collapsed="false">
      <c r="A2" s="31" t="n">
        <v>42857.6792392477</v>
      </c>
      <c r="B2" s="32" t="s">
        <v>59</v>
      </c>
      <c r="C2" s="4" t="s">
        <v>60</v>
      </c>
      <c r="D2" s="4" t="n">
        <v>8</v>
      </c>
      <c r="E2" s="27" t="s">
        <v>61</v>
      </c>
      <c r="G2" s="22" t="s">
        <v>62</v>
      </c>
      <c r="H2" s="4" t="s">
        <v>63</v>
      </c>
      <c r="I2" s="4" t="n">
        <v>5</v>
      </c>
      <c r="J2" s="4" t="n">
        <v>4</v>
      </c>
    </row>
    <row r="3" customFormat="false" ht="15.75" hidden="false" customHeight="false" outlineLevel="0" collapsed="false">
      <c r="A3" s="31" t="n">
        <v>42857.6858170486</v>
      </c>
      <c r="B3" s="32" t="s">
        <v>64</v>
      </c>
      <c r="C3" s="4" t="s">
        <v>65</v>
      </c>
      <c r="D3" s="4" t="n">
        <v>10</v>
      </c>
      <c r="E3" s="27" t="s">
        <v>66</v>
      </c>
      <c r="G3" s="22" t="s">
        <v>67</v>
      </c>
      <c r="H3" s="4" t="s">
        <v>68</v>
      </c>
      <c r="I3" s="4" t="n">
        <v>9</v>
      </c>
      <c r="J3" s="4" t="n">
        <v>8</v>
      </c>
    </row>
    <row r="4" customFormat="false" ht="15.75" hidden="false" customHeight="false" outlineLevel="0" collapsed="false">
      <c r="A4" s="31" t="n">
        <v>42857.6996327778</v>
      </c>
      <c r="B4" s="32" t="s">
        <v>69</v>
      </c>
      <c r="C4" s="4" t="s">
        <v>70</v>
      </c>
      <c r="D4" s="4" t="n">
        <v>9</v>
      </c>
      <c r="E4" s="27" t="s">
        <v>71</v>
      </c>
      <c r="G4" s="22" t="s">
        <v>72</v>
      </c>
      <c r="H4" s="4" t="s">
        <v>73</v>
      </c>
      <c r="I4" s="4" t="n">
        <v>1</v>
      </c>
      <c r="J4" s="4" t="n">
        <v>6</v>
      </c>
    </row>
    <row r="5" customFormat="false" ht="15.75" hidden="false" customHeight="false" outlineLevel="0" collapsed="false">
      <c r="A5" s="33" t="n">
        <v>42857.6996404282</v>
      </c>
      <c r="B5" s="34" t="s">
        <v>69</v>
      </c>
      <c r="C5" s="34" t="s">
        <v>70</v>
      </c>
      <c r="D5" s="34" t="n">
        <v>9</v>
      </c>
      <c r="E5" s="35" t="s">
        <v>71</v>
      </c>
      <c r="F5" s="36"/>
      <c r="G5" s="37" t="s">
        <v>72</v>
      </c>
      <c r="H5" s="34" t="s">
        <v>73</v>
      </c>
      <c r="I5" s="34" t="n">
        <v>1</v>
      </c>
      <c r="J5" s="34" t="n">
        <v>5</v>
      </c>
    </row>
    <row r="6" customFormat="false" ht="15.75" hidden="false" customHeight="false" outlineLevel="0" collapsed="false">
      <c r="A6" s="31" t="n">
        <v>42857.6996471991</v>
      </c>
      <c r="B6" s="32" t="s">
        <v>74</v>
      </c>
      <c r="C6" s="4" t="s">
        <v>75</v>
      </c>
      <c r="D6" s="4" t="n">
        <v>9</v>
      </c>
      <c r="E6" s="27" t="s">
        <v>76</v>
      </c>
      <c r="G6" s="22" t="s">
        <v>77</v>
      </c>
      <c r="H6" s="4" t="s">
        <v>78</v>
      </c>
      <c r="I6" s="4" t="n">
        <v>1</v>
      </c>
      <c r="J6" s="4" t="n">
        <v>4</v>
      </c>
    </row>
    <row r="7" customFormat="false" ht="15.75" hidden="false" customHeight="false" outlineLevel="0" collapsed="false">
      <c r="A7" s="31" t="n">
        <v>42857.7073874653</v>
      </c>
      <c r="B7" s="32" t="s">
        <v>79</v>
      </c>
      <c r="C7" s="4" t="s">
        <v>80</v>
      </c>
      <c r="D7" s="4" t="n">
        <v>10</v>
      </c>
      <c r="E7" s="27" t="s">
        <v>81</v>
      </c>
      <c r="G7" s="22" t="s">
        <v>82</v>
      </c>
      <c r="H7" s="4" t="s">
        <v>83</v>
      </c>
      <c r="I7" s="4" t="n">
        <v>8</v>
      </c>
      <c r="J7" s="4" t="n">
        <v>7</v>
      </c>
    </row>
    <row r="8" customFormat="false" ht="15.75" hidden="false" customHeight="false" outlineLevel="0" collapsed="false">
      <c r="A8" s="31" t="n">
        <v>42857.7200459606</v>
      </c>
      <c r="B8" s="32" t="s">
        <v>84</v>
      </c>
      <c r="C8" s="4" t="s">
        <v>85</v>
      </c>
      <c r="D8" s="4" t="n">
        <v>9</v>
      </c>
      <c r="E8" s="27" t="s">
        <v>86</v>
      </c>
      <c r="G8" s="22" t="s">
        <v>87</v>
      </c>
      <c r="H8" s="4" t="s">
        <v>88</v>
      </c>
      <c r="I8" s="4" t="n">
        <v>2</v>
      </c>
      <c r="J8" s="4" t="n">
        <v>6</v>
      </c>
    </row>
    <row r="9" customFormat="false" ht="15.75" hidden="false" customHeight="false" outlineLevel="0" collapsed="false">
      <c r="A9" s="31" t="n">
        <v>42857.8258576389</v>
      </c>
      <c r="B9" s="32" t="s">
        <v>89</v>
      </c>
      <c r="C9" s="4" t="s">
        <v>90</v>
      </c>
      <c r="D9" s="4" t="n">
        <v>7</v>
      </c>
      <c r="E9" s="27" t="s">
        <v>91</v>
      </c>
      <c r="G9" s="22" t="s">
        <v>92</v>
      </c>
      <c r="H9" s="4" t="s">
        <v>93</v>
      </c>
      <c r="I9" s="4" t="n">
        <v>5</v>
      </c>
      <c r="J9" s="4" t="n">
        <v>2</v>
      </c>
    </row>
    <row r="10" customFormat="false" ht="15.75" hidden="false" customHeight="false" outlineLevel="0" collapsed="false">
      <c r="A10" s="31" t="n">
        <v>42857.8408027546</v>
      </c>
      <c r="B10" s="32" t="s">
        <v>94</v>
      </c>
      <c r="C10" s="4" t="s">
        <v>95</v>
      </c>
      <c r="D10" s="4" t="n">
        <v>9</v>
      </c>
      <c r="E10" s="27" t="s">
        <v>96</v>
      </c>
      <c r="G10" s="22" t="s">
        <v>97</v>
      </c>
      <c r="H10" s="4" t="s">
        <v>98</v>
      </c>
      <c r="I10" s="4" t="n">
        <v>1</v>
      </c>
      <c r="J10" s="4" t="n">
        <v>4</v>
      </c>
    </row>
    <row r="11" customFormat="false" ht="15.75" hidden="false" customHeight="false" outlineLevel="0" collapsed="false">
      <c r="A11" s="31" t="n">
        <v>42857.9381785069</v>
      </c>
      <c r="B11" s="32" t="s">
        <v>99</v>
      </c>
      <c r="C11" s="4" t="s">
        <v>100</v>
      </c>
      <c r="D11" s="4" t="n">
        <v>9</v>
      </c>
      <c r="E11" s="27" t="s">
        <v>101</v>
      </c>
      <c r="G11" s="22" t="s">
        <v>102</v>
      </c>
      <c r="H11" s="4" t="s">
        <v>103</v>
      </c>
      <c r="I11" s="4" t="n">
        <v>2</v>
      </c>
      <c r="J11" s="4" t="n">
        <v>7</v>
      </c>
    </row>
    <row r="12" customFormat="false" ht="15.75" hidden="false" customHeight="false" outlineLevel="0" collapsed="false">
      <c r="A12" s="31" t="n">
        <v>42858.2451090046</v>
      </c>
      <c r="B12" s="32" t="s">
        <v>104</v>
      </c>
      <c r="C12" s="4" t="s">
        <v>105</v>
      </c>
      <c r="D12" s="4" t="n">
        <v>10</v>
      </c>
      <c r="E12" s="27" t="s">
        <v>106</v>
      </c>
      <c r="G12" s="22" t="s">
        <v>107</v>
      </c>
      <c r="H12" s="4" t="s">
        <v>108</v>
      </c>
      <c r="I12" s="4" t="n">
        <v>2</v>
      </c>
      <c r="J12" s="4" t="n">
        <v>10</v>
      </c>
    </row>
    <row r="13" customFormat="false" ht="15.75" hidden="false" customHeight="false" outlineLevel="0" collapsed="false">
      <c r="A13" s="31" t="n">
        <v>42858.5937296644</v>
      </c>
      <c r="B13" s="32" t="s">
        <v>109</v>
      </c>
      <c r="C13" s="4" t="s">
        <v>75</v>
      </c>
      <c r="D13" s="4" t="n">
        <v>7</v>
      </c>
      <c r="E13" s="27" t="s">
        <v>110</v>
      </c>
      <c r="G13" s="22" t="s">
        <v>111</v>
      </c>
      <c r="H13" s="4" t="s">
        <v>112</v>
      </c>
      <c r="I13" s="4" t="n">
        <v>4</v>
      </c>
      <c r="J13" s="4" t="n">
        <v>1</v>
      </c>
    </row>
    <row r="14" customFormat="false" ht="15.75" hidden="false" customHeight="false" outlineLevel="0" collapsed="false">
      <c r="A14" s="31" t="n">
        <v>42858.750765787</v>
      </c>
      <c r="B14" s="32" t="s">
        <v>113</v>
      </c>
      <c r="C14" s="4" t="s">
        <v>114</v>
      </c>
      <c r="D14" s="4" t="n">
        <v>9</v>
      </c>
      <c r="E14" s="27" t="s">
        <v>115</v>
      </c>
      <c r="F14" s="4" t="s">
        <v>116</v>
      </c>
      <c r="G14" s="22" t="s">
        <v>117</v>
      </c>
      <c r="H14" s="4" t="s">
        <v>118</v>
      </c>
      <c r="I14" s="4" t="n">
        <v>5</v>
      </c>
      <c r="J14" s="4" t="n">
        <v>2</v>
      </c>
    </row>
    <row r="15" customFormat="false" ht="15.75" hidden="false" customHeight="false" outlineLevel="0" collapsed="false">
      <c r="A15" s="31" t="n">
        <v>42858.7692120255</v>
      </c>
      <c r="B15" s="32" t="s">
        <v>119</v>
      </c>
      <c r="C15" s="4" t="s">
        <v>120</v>
      </c>
      <c r="D15" s="4" t="n">
        <v>10</v>
      </c>
      <c r="E15" s="27" t="s">
        <v>121</v>
      </c>
      <c r="G15" s="22" t="s">
        <v>122</v>
      </c>
      <c r="H15" s="4" t="s">
        <v>123</v>
      </c>
      <c r="I15" s="4" t="n">
        <v>2</v>
      </c>
      <c r="J15" s="4" t="n">
        <v>4</v>
      </c>
    </row>
    <row r="16" customFormat="false" ht="15.75" hidden="false" customHeight="false" outlineLevel="0" collapsed="false">
      <c r="A16" s="31" t="n">
        <v>42858.7699314815</v>
      </c>
      <c r="B16" s="32" t="s">
        <v>124</v>
      </c>
      <c r="C16" s="4" t="s">
        <v>125</v>
      </c>
      <c r="D16" s="4" t="n">
        <v>7</v>
      </c>
      <c r="E16" s="27" t="s">
        <v>126</v>
      </c>
      <c r="G16" s="4" t="s">
        <v>33</v>
      </c>
      <c r="H16" s="4" t="s">
        <v>127</v>
      </c>
      <c r="I16" s="4" t="n">
        <v>4</v>
      </c>
      <c r="J16" s="4" t="n">
        <v>3</v>
      </c>
    </row>
    <row r="17" customFormat="false" ht="15.75" hidden="false" customHeight="false" outlineLevel="0" collapsed="false">
      <c r="A17" s="31" t="n">
        <v>42858.7700356713</v>
      </c>
      <c r="B17" s="32" t="s">
        <v>128</v>
      </c>
      <c r="C17" s="4" t="s">
        <v>129</v>
      </c>
      <c r="D17" s="4" t="n">
        <v>10</v>
      </c>
      <c r="E17" s="27" t="s">
        <v>130</v>
      </c>
      <c r="G17" s="22" t="s">
        <v>131</v>
      </c>
      <c r="H17" s="4" t="s">
        <v>132</v>
      </c>
      <c r="I17" s="4" t="n">
        <v>3</v>
      </c>
      <c r="J17" s="4" t="n">
        <v>10</v>
      </c>
    </row>
    <row r="18" customFormat="false" ht="15.75" hidden="false" customHeight="false" outlineLevel="0" collapsed="false">
      <c r="A18" s="31" t="n">
        <v>42858.8069016782</v>
      </c>
      <c r="B18" s="32" t="s">
        <v>133</v>
      </c>
      <c r="C18" s="4" t="s">
        <v>134</v>
      </c>
      <c r="D18" s="4" t="n">
        <v>7</v>
      </c>
      <c r="E18" s="27" t="s">
        <v>130</v>
      </c>
      <c r="G18" s="22" t="s">
        <v>135</v>
      </c>
      <c r="H18" s="4" t="s">
        <v>136</v>
      </c>
      <c r="I18" s="4" t="n">
        <v>4</v>
      </c>
      <c r="J18" s="4" t="n">
        <v>1</v>
      </c>
    </row>
    <row r="19" customFormat="false" ht="15.75" hidden="false" customHeight="false" outlineLevel="0" collapsed="false">
      <c r="A19" s="31" t="n">
        <v>42858.8187622222</v>
      </c>
      <c r="B19" s="32" t="s">
        <v>137</v>
      </c>
      <c r="C19" s="4" t="s">
        <v>138</v>
      </c>
      <c r="D19" s="4" t="n">
        <v>8</v>
      </c>
      <c r="E19" s="27" t="s">
        <v>39</v>
      </c>
      <c r="G19" s="22" t="s">
        <v>139</v>
      </c>
      <c r="H19" s="4" t="s">
        <v>140</v>
      </c>
      <c r="I19" s="4" t="n">
        <v>5</v>
      </c>
      <c r="J19" s="4" t="n">
        <v>1</v>
      </c>
    </row>
    <row r="20" customFormat="false" ht="15.75" hidden="false" customHeight="false" outlineLevel="0" collapsed="false">
      <c r="A20" s="31" t="n">
        <v>42858.8448409491</v>
      </c>
      <c r="B20" s="32" t="s">
        <v>141</v>
      </c>
      <c r="C20" s="4" t="s">
        <v>142</v>
      </c>
      <c r="D20" s="4" t="n">
        <v>9</v>
      </c>
      <c r="E20" s="27" t="s">
        <v>40</v>
      </c>
      <c r="G20" s="22" t="s">
        <v>143</v>
      </c>
      <c r="H20" s="4" t="s">
        <v>144</v>
      </c>
      <c r="I20" s="4" t="n">
        <v>3</v>
      </c>
      <c r="J20" s="4" t="n">
        <v>8</v>
      </c>
    </row>
    <row r="21" customFormat="false" ht="15.75" hidden="false" customHeight="false" outlineLevel="0" collapsed="false">
      <c r="A21" s="31" t="n">
        <v>42858.852775463</v>
      </c>
      <c r="B21" s="32" t="s">
        <v>145</v>
      </c>
      <c r="C21" s="4" t="s">
        <v>146</v>
      </c>
      <c r="D21" s="4" t="n">
        <v>10</v>
      </c>
      <c r="E21" s="27" t="s">
        <v>39</v>
      </c>
      <c r="G21" s="22" t="s">
        <v>147</v>
      </c>
      <c r="H21" s="4" t="s">
        <v>148</v>
      </c>
      <c r="I21" s="4" t="n">
        <v>1</v>
      </c>
      <c r="J21" s="4" t="n">
        <v>7</v>
      </c>
    </row>
    <row r="22" customFormat="false" ht="15.75" hidden="false" customHeight="false" outlineLevel="0" collapsed="false">
      <c r="A22" s="31" t="n">
        <v>42858.8598179051</v>
      </c>
      <c r="B22" s="32" t="s">
        <v>149</v>
      </c>
      <c r="C22" s="4" t="s">
        <v>150</v>
      </c>
      <c r="D22" s="4" t="n">
        <v>10</v>
      </c>
      <c r="E22" s="27" t="s">
        <v>39</v>
      </c>
      <c r="G22" s="4" t="s">
        <v>151</v>
      </c>
      <c r="H22" s="4" t="s">
        <v>152</v>
      </c>
      <c r="I22" s="4" t="n">
        <v>3</v>
      </c>
      <c r="J22" s="4" t="n">
        <v>7</v>
      </c>
    </row>
    <row r="23" customFormat="false" ht="15.75" hidden="false" customHeight="false" outlineLevel="0" collapsed="false">
      <c r="A23" s="31" t="n">
        <v>42859.7036070139</v>
      </c>
      <c r="B23" s="32" t="s">
        <v>153</v>
      </c>
      <c r="C23" s="4" t="s">
        <v>154</v>
      </c>
      <c r="D23" s="4" t="n">
        <v>10</v>
      </c>
      <c r="E23" s="27" t="s">
        <v>91</v>
      </c>
      <c r="F23" s="4" t="s">
        <v>155</v>
      </c>
      <c r="G23" s="22" t="s">
        <v>156</v>
      </c>
      <c r="H23" s="4" t="s">
        <v>157</v>
      </c>
      <c r="I23" s="4" t="n">
        <v>1</v>
      </c>
      <c r="J23" s="4" t="n">
        <v>4</v>
      </c>
    </row>
    <row r="24" customFormat="false" ht="15.75" hidden="false" customHeight="false" outlineLevel="0" collapsed="false">
      <c r="A24" s="31" t="n">
        <v>42860.1956597569</v>
      </c>
      <c r="B24" s="32" t="s">
        <v>158</v>
      </c>
      <c r="C24" s="4" t="s">
        <v>159</v>
      </c>
      <c r="D24" s="4" t="n">
        <v>9</v>
      </c>
      <c r="E24" s="27" t="s">
        <v>160</v>
      </c>
      <c r="G24" s="4" t="s">
        <v>161</v>
      </c>
      <c r="H24" s="4" t="s">
        <v>162</v>
      </c>
      <c r="I24" s="4" t="n">
        <v>5</v>
      </c>
      <c r="J24" s="4" t="n">
        <v>4</v>
      </c>
    </row>
    <row r="25" customFormat="false" ht="15.75" hidden="false" customHeight="false" outlineLevel="0" collapsed="false">
      <c r="A25" s="31" t="n">
        <v>42860.6522944329</v>
      </c>
      <c r="B25" s="32" t="s">
        <v>163</v>
      </c>
      <c r="C25" s="4" t="s">
        <v>164</v>
      </c>
      <c r="D25" s="4" t="n">
        <v>9</v>
      </c>
      <c r="E25" s="27" t="s">
        <v>40</v>
      </c>
      <c r="G25" s="22" t="s">
        <v>165</v>
      </c>
      <c r="H25" s="4" t="s">
        <v>166</v>
      </c>
      <c r="I25" s="4" t="n">
        <v>10</v>
      </c>
      <c r="J25" s="4" t="n">
        <v>6</v>
      </c>
    </row>
    <row r="26" customFormat="false" ht="15.75" hidden="false" customHeight="false" outlineLevel="0" collapsed="false">
      <c r="A26" s="31" t="n">
        <v>42860.6827810417</v>
      </c>
      <c r="B26" s="32" t="s">
        <v>167</v>
      </c>
      <c r="C26" s="4" t="s">
        <v>168</v>
      </c>
      <c r="D26" s="4" t="n">
        <v>10</v>
      </c>
      <c r="E26" s="27" t="s">
        <v>40</v>
      </c>
      <c r="G26" s="22" t="s">
        <v>169</v>
      </c>
      <c r="H26" s="4" t="s">
        <v>170</v>
      </c>
      <c r="I26" s="4" t="n">
        <v>3</v>
      </c>
      <c r="J26" s="4" t="n">
        <v>10</v>
      </c>
    </row>
    <row r="27" customFormat="false" ht="15.75" hidden="false" customHeight="false" outlineLevel="0" collapsed="false">
      <c r="A27" s="31" t="n">
        <v>42860.8917631366</v>
      </c>
      <c r="B27" s="32" t="s">
        <v>171</v>
      </c>
      <c r="C27" s="4" t="s">
        <v>90</v>
      </c>
      <c r="D27" s="4" t="n">
        <v>10</v>
      </c>
      <c r="E27" s="27" t="s">
        <v>172</v>
      </c>
      <c r="G27" s="22" t="s">
        <v>173</v>
      </c>
      <c r="H27" s="4" t="s">
        <v>174</v>
      </c>
      <c r="I27" s="4" t="n">
        <v>3</v>
      </c>
      <c r="J27" s="4" t="n">
        <v>10</v>
      </c>
    </row>
    <row r="28" customFormat="false" ht="15.75" hidden="false" customHeight="false" outlineLevel="0" collapsed="false">
      <c r="A28" s="31" t="n">
        <v>42861.2861130093</v>
      </c>
      <c r="B28" s="32" t="s">
        <v>175</v>
      </c>
      <c r="C28" s="4" t="s">
        <v>176</v>
      </c>
      <c r="D28" s="4" t="n">
        <v>8</v>
      </c>
      <c r="E28" s="27" t="s">
        <v>177</v>
      </c>
      <c r="G28" s="22" t="s">
        <v>178</v>
      </c>
      <c r="H28" s="4" t="s">
        <v>179</v>
      </c>
      <c r="I28" s="4" t="n">
        <v>1</v>
      </c>
      <c r="J28" s="4" t="n">
        <v>3</v>
      </c>
    </row>
    <row r="29" customFormat="false" ht="15.75" hidden="false" customHeight="false" outlineLevel="0" collapsed="false">
      <c r="A29" s="31" t="n">
        <v>42862.2518361343</v>
      </c>
      <c r="B29" s="32" t="s">
        <v>180</v>
      </c>
      <c r="C29" s="4" t="s">
        <v>150</v>
      </c>
      <c r="D29" s="4" t="n">
        <v>8</v>
      </c>
      <c r="E29" s="27" t="s">
        <v>181</v>
      </c>
      <c r="F29" s="4" t="s">
        <v>182</v>
      </c>
      <c r="G29" s="22" t="s">
        <v>183</v>
      </c>
      <c r="H29" s="4" t="s">
        <v>184</v>
      </c>
      <c r="I29" s="4" t="n">
        <v>10</v>
      </c>
      <c r="J29" s="4" t="n">
        <v>0</v>
      </c>
    </row>
    <row r="30" customFormat="false" ht="15.75" hidden="false" customHeight="false" outlineLevel="0" collapsed="false">
      <c r="A30" s="31" t="n">
        <v>42862.7635096065</v>
      </c>
      <c r="B30" s="32" t="s">
        <v>185</v>
      </c>
      <c r="C30" s="4" t="s">
        <v>186</v>
      </c>
      <c r="D30" s="4" t="n">
        <v>9</v>
      </c>
      <c r="E30" s="27" t="s">
        <v>39</v>
      </c>
      <c r="G30" s="22" t="s">
        <v>187</v>
      </c>
      <c r="H30" s="4" t="s">
        <v>188</v>
      </c>
      <c r="I30" s="4" t="n">
        <v>9</v>
      </c>
      <c r="J30" s="4" t="n">
        <v>10</v>
      </c>
    </row>
    <row r="31" customFormat="false" ht="15.75" hidden="false" customHeight="false" outlineLevel="0" collapsed="false">
      <c r="A31" s="31" t="n">
        <v>42863.3321471181</v>
      </c>
      <c r="B31" s="32" t="s">
        <v>189</v>
      </c>
      <c r="C31" s="4" t="s">
        <v>190</v>
      </c>
      <c r="D31" s="4" t="n">
        <v>9</v>
      </c>
      <c r="E31" s="27" t="s">
        <v>191</v>
      </c>
      <c r="G31" s="22" t="s">
        <v>192</v>
      </c>
      <c r="H31" s="4" t="s">
        <v>193</v>
      </c>
      <c r="I31" s="4" t="n">
        <v>2</v>
      </c>
      <c r="J31" s="4" t="n">
        <v>10</v>
      </c>
    </row>
    <row r="32" customFormat="false" ht="15.75" hidden="false" customHeight="false" outlineLevel="0" collapsed="false">
      <c r="A32" s="31" t="n">
        <v>42863.7634646065</v>
      </c>
      <c r="B32" s="32" t="s">
        <v>194</v>
      </c>
      <c r="C32" s="4" t="s">
        <v>195</v>
      </c>
      <c r="D32" s="4" t="n">
        <v>10</v>
      </c>
      <c r="E32" s="27" t="s">
        <v>130</v>
      </c>
      <c r="G32" s="22" t="s">
        <v>196</v>
      </c>
      <c r="H32" s="4" t="s">
        <v>197</v>
      </c>
      <c r="I32" s="4" t="n">
        <v>3</v>
      </c>
      <c r="J32" s="4" t="n">
        <v>2</v>
      </c>
    </row>
    <row r="33" customFormat="false" ht="15.75" hidden="false" customHeight="false" outlineLevel="0" collapsed="false">
      <c r="A33" s="31" t="n">
        <v>42863.7729758449</v>
      </c>
      <c r="B33" s="32" t="s">
        <v>198</v>
      </c>
      <c r="C33" s="4" t="s">
        <v>199</v>
      </c>
      <c r="D33" s="4" t="n">
        <v>9</v>
      </c>
      <c r="E33" s="27" t="s">
        <v>200</v>
      </c>
      <c r="F33" s="4" t="s">
        <v>201</v>
      </c>
      <c r="G33" s="4" t="s">
        <v>151</v>
      </c>
      <c r="H33" s="4" t="s">
        <v>202</v>
      </c>
      <c r="I33" s="4" t="n">
        <v>9</v>
      </c>
      <c r="J33" s="4" t="n">
        <v>7</v>
      </c>
    </row>
    <row r="34" customFormat="false" ht="15.75" hidden="false" customHeight="false" outlineLevel="0" collapsed="false">
      <c r="A34" s="31" t="n">
        <v>42863.7998071759</v>
      </c>
      <c r="B34" s="32" t="s">
        <v>203</v>
      </c>
      <c r="C34" s="4" t="s">
        <v>204</v>
      </c>
      <c r="D34" s="4" t="n">
        <v>10</v>
      </c>
      <c r="E34" s="27" t="s">
        <v>205</v>
      </c>
      <c r="F34" s="4" t="s">
        <v>206</v>
      </c>
      <c r="G34" s="22" t="s">
        <v>207</v>
      </c>
      <c r="H34" s="4" t="s">
        <v>208</v>
      </c>
      <c r="I34" s="4" t="n">
        <v>5</v>
      </c>
      <c r="J34" s="4" t="n">
        <v>0</v>
      </c>
    </row>
    <row r="35" customFormat="false" ht="15.75" hidden="false" customHeight="false" outlineLevel="0" collapsed="false">
      <c r="A35" s="31" t="n">
        <v>42863.835979294</v>
      </c>
      <c r="B35" s="32" t="s">
        <v>209</v>
      </c>
      <c r="C35" s="4" t="s">
        <v>210</v>
      </c>
      <c r="D35" s="4" t="n">
        <v>10</v>
      </c>
      <c r="E35" s="27" t="s">
        <v>211</v>
      </c>
      <c r="G35" s="22" t="s">
        <v>212</v>
      </c>
      <c r="H35" s="4" t="s">
        <v>213</v>
      </c>
      <c r="I35" s="4" t="n">
        <v>8</v>
      </c>
      <c r="J35" s="4" t="n">
        <v>8</v>
      </c>
    </row>
    <row r="36" customFormat="false" ht="15.75" hidden="false" customHeight="false" outlineLevel="0" collapsed="false">
      <c r="A36" s="31" t="n">
        <v>42863.8556443866</v>
      </c>
      <c r="B36" s="32" t="s">
        <v>214</v>
      </c>
      <c r="C36" s="4" t="s">
        <v>215</v>
      </c>
      <c r="D36" s="4" t="n">
        <v>11</v>
      </c>
      <c r="E36" s="27" t="s">
        <v>130</v>
      </c>
      <c r="F36" s="4" t="s">
        <v>216</v>
      </c>
      <c r="G36" s="22" t="s">
        <v>217</v>
      </c>
      <c r="H36" s="4" t="s">
        <v>218</v>
      </c>
      <c r="I36" s="4" t="n">
        <v>1</v>
      </c>
      <c r="J36" s="4" t="n">
        <v>8</v>
      </c>
    </row>
    <row r="37" customFormat="false" ht="15.75" hidden="false" customHeight="false" outlineLevel="0" collapsed="false">
      <c r="A37" s="31" t="n">
        <v>42863.8724809144</v>
      </c>
      <c r="B37" s="32" t="s">
        <v>219</v>
      </c>
      <c r="C37" s="4" t="s">
        <v>105</v>
      </c>
      <c r="D37" s="4" t="n">
        <v>8</v>
      </c>
      <c r="E37" s="27" t="s">
        <v>220</v>
      </c>
      <c r="G37" s="22" t="s">
        <v>221</v>
      </c>
      <c r="H37" s="4" t="s">
        <v>222</v>
      </c>
      <c r="I37" s="4" t="n">
        <v>3</v>
      </c>
      <c r="J37" s="4" t="n">
        <v>4</v>
      </c>
    </row>
    <row r="38" customFormat="false" ht="15.75" hidden="false" customHeight="false" outlineLevel="0" collapsed="false">
      <c r="A38" s="31" t="n">
        <v>42863.889486169</v>
      </c>
      <c r="B38" s="32" t="s">
        <v>223</v>
      </c>
      <c r="C38" s="4" t="s">
        <v>159</v>
      </c>
      <c r="D38" s="4" t="n">
        <v>9</v>
      </c>
      <c r="E38" s="27" t="s">
        <v>224</v>
      </c>
      <c r="G38" s="22" t="s">
        <v>225</v>
      </c>
      <c r="H38" s="4" t="s">
        <v>226</v>
      </c>
      <c r="I38" s="4" t="n">
        <v>3</v>
      </c>
      <c r="J38" s="4" t="n">
        <v>7</v>
      </c>
    </row>
    <row r="39" customFormat="false" ht="15.75" hidden="false" customHeight="false" outlineLevel="0" collapsed="false">
      <c r="A39" s="31" t="n">
        <v>42864.3187935532</v>
      </c>
      <c r="B39" s="32" t="s">
        <v>227</v>
      </c>
      <c r="C39" s="4" t="s">
        <v>228</v>
      </c>
      <c r="D39" s="4" t="n">
        <v>10</v>
      </c>
      <c r="E39" s="27" t="s">
        <v>172</v>
      </c>
      <c r="F39" s="4" t="s">
        <v>229</v>
      </c>
      <c r="G39" s="22" t="s">
        <v>230</v>
      </c>
      <c r="H39" s="4" t="s">
        <v>231</v>
      </c>
      <c r="I39" s="4" t="n">
        <v>2</v>
      </c>
      <c r="J39" s="4" t="n">
        <v>4</v>
      </c>
    </row>
    <row r="40" customFormat="false" ht="15.75" hidden="false" customHeight="false" outlineLevel="0" collapsed="false">
      <c r="A40" s="31" t="n">
        <v>42864.5063961574</v>
      </c>
      <c r="B40" s="32" t="s">
        <v>232</v>
      </c>
      <c r="C40" s="4" t="s">
        <v>105</v>
      </c>
      <c r="D40" s="4" t="n">
        <v>10</v>
      </c>
      <c r="E40" s="27" t="s">
        <v>233</v>
      </c>
      <c r="G40" s="22" t="s">
        <v>234</v>
      </c>
      <c r="H40" s="4" t="s">
        <v>235</v>
      </c>
      <c r="I40" s="4" t="n">
        <v>8</v>
      </c>
      <c r="J40" s="4" t="n">
        <v>1</v>
      </c>
    </row>
    <row r="41" customFormat="false" ht="15.75" hidden="false" customHeight="false" outlineLevel="0" collapsed="false">
      <c r="A41" s="31" t="n">
        <v>42864.5357464005</v>
      </c>
      <c r="B41" s="32" t="s">
        <v>236</v>
      </c>
      <c r="C41" s="4" t="s">
        <v>237</v>
      </c>
      <c r="D41" s="4" t="n">
        <v>10</v>
      </c>
      <c r="E41" s="27" t="s">
        <v>40</v>
      </c>
      <c r="G41" s="22" t="s">
        <v>238</v>
      </c>
      <c r="H41" s="4" t="s">
        <v>239</v>
      </c>
      <c r="I41" s="4" t="n">
        <v>0</v>
      </c>
      <c r="J41" s="4" t="n">
        <v>10</v>
      </c>
    </row>
    <row r="42" customFormat="false" ht="15.75" hidden="false" customHeight="false" outlineLevel="0" collapsed="false">
      <c r="A42" s="31" t="n">
        <v>42864.5495158102</v>
      </c>
      <c r="B42" s="32" t="s">
        <v>240</v>
      </c>
      <c r="C42" s="4" t="s">
        <v>241</v>
      </c>
      <c r="D42" s="4" t="n">
        <v>10</v>
      </c>
      <c r="E42" s="27" t="s">
        <v>242</v>
      </c>
      <c r="G42" s="22" t="s">
        <v>243</v>
      </c>
      <c r="H42" s="4" t="s">
        <v>244</v>
      </c>
      <c r="I42" s="4" t="n">
        <v>4</v>
      </c>
      <c r="J42" s="4" t="n">
        <v>6</v>
      </c>
    </row>
    <row r="43" customFormat="false" ht="15.75" hidden="false" customHeight="false" outlineLevel="0" collapsed="false">
      <c r="A43" s="31" t="n">
        <v>42864.5530093403</v>
      </c>
      <c r="B43" s="32" t="s">
        <v>245</v>
      </c>
      <c r="C43" s="4" t="s">
        <v>246</v>
      </c>
      <c r="D43" s="4" t="n">
        <v>9</v>
      </c>
      <c r="E43" s="27" t="s">
        <v>247</v>
      </c>
      <c r="G43" s="22" t="s">
        <v>248</v>
      </c>
      <c r="H43" s="4" t="s">
        <v>249</v>
      </c>
      <c r="I43" s="4" t="n">
        <v>5</v>
      </c>
      <c r="J43" s="4" t="n">
        <v>4</v>
      </c>
    </row>
    <row r="44" customFormat="false" ht="15.75" hidden="false" customHeight="false" outlineLevel="0" collapsed="false">
      <c r="A44" s="31" t="n">
        <v>42864.5838590625</v>
      </c>
      <c r="B44" s="32" t="s">
        <v>250</v>
      </c>
      <c r="C44" s="4" t="s">
        <v>60</v>
      </c>
      <c r="D44" s="4" t="n">
        <v>9</v>
      </c>
      <c r="E44" s="27" t="s">
        <v>251</v>
      </c>
      <c r="F44" s="4" t="s">
        <v>252</v>
      </c>
      <c r="G44" s="22" t="s">
        <v>253</v>
      </c>
      <c r="H44" s="4" t="s">
        <v>254</v>
      </c>
      <c r="I44" s="4" t="n">
        <v>5</v>
      </c>
      <c r="J44" s="4" t="n">
        <v>8</v>
      </c>
    </row>
    <row r="45" customFormat="false" ht="15.75" hidden="false" customHeight="false" outlineLevel="0" collapsed="false">
      <c r="A45" s="31" t="n">
        <v>42864.6145067014</v>
      </c>
      <c r="B45" s="32" t="s">
        <v>255</v>
      </c>
      <c r="C45" s="4" t="s">
        <v>256</v>
      </c>
      <c r="D45" s="4" t="n">
        <v>10</v>
      </c>
      <c r="E45" s="27" t="s">
        <v>257</v>
      </c>
      <c r="G45" s="22" t="s">
        <v>258</v>
      </c>
      <c r="H45" s="4" t="s">
        <v>259</v>
      </c>
      <c r="I45" s="4" t="n">
        <v>5</v>
      </c>
      <c r="J45" s="4" t="n">
        <v>6</v>
      </c>
    </row>
    <row r="46" customFormat="false" ht="15.75" hidden="false" customHeight="false" outlineLevel="0" collapsed="false">
      <c r="A46" s="31" t="n">
        <v>42864.750260463</v>
      </c>
      <c r="B46" s="32" t="s">
        <v>260</v>
      </c>
      <c r="C46" s="4" t="s">
        <v>261</v>
      </c>
      <c r="D46" s="4" t="n">
        <v>10</v>
      </c>
      <c r="E46" s="27" t="s">
        <v>39</v>
      </c>
      <c r="F46" s="4" t="s">
        <v>262</v>
      </c>
      <c r="G46" s="22" t="s">
        <v>263</v>
      </c>
      <c r="H46" s="4" t="s">
        <v>264</v>
      </c>
      <c r="I46" s="4" t="n">
        <v>9</v>
      </c>
      <c r="J46" s="4" t="n">
        <v>8</v>
      </c>
    </row>
    <row r="47" customFormat="false" ht="15.75" hidden="false" customHeight="false" outlineLevel="0" collapsed="false">
      <c r="A47" s="31" t="n">
        <v>42864.7758284144</v>
      </c>
      <c r="B47" s="32" t="s">
        <v>265</v>
      </c>
      <c r="C47" s="4" t="s">
        <v>266</v>
      </c>
      <c r="D47" s="4" t="n">
        <v>8</v>
      </c>
      <c r="E47" s="27" t="s">
        <v>267</v>
      </c>
      <c r="G47" s="22" t="s">
        <v>268</v>
      </c>
      <c r="H47" s="4" t="s">
        <v>269</v>
      </c>
      <c r="I47" s="4" t="n">
        <v>5</v>
      </c>
      <c r="J47" s="4" t="n">
        <v>1</v>
      </c>
    </row>
    <row r="48" customFormat="false" ht="15.75" hidden="false" customHeight="false" outlineLevel="0" collapsed="false">
      <c r="A48" s="31" t="n">
        <v>42864.8525575</v>
      </c>
      <c r="B48" s="32" t="s">
        <v>270</v>
      </c>
      <c r="C48" s="4" t="s">
        <v>271</v>
      </c>
      <c r="D48" s="4" t="n">
        <v>8</v>
      </c>
      <c r="E48" s="27" t="s">
        <v>272</v>
      </c>
      <c r="G48" s="22" t="s">
        <v>273</v>
      </c>
      <c r="H48" s="4" t="s">
        <v>274</v>
      </c>
      <c r="I48" s="4" t="n">
        <v>5</v>
      </c>
      <c r="J48" s="4" t="n">
        <v>6</v>
      </c>
    </row>
    <row r="49" customFormat="false" ht="15.75" hidden="false" customHeight="false" outlineLevel="0" collapsed="false">
      <c r="A49" s="31" t="n">
        <v>42865.2329080208</v>
      </c>
      <c r="B49" s="32" t="s">
        <v>275</v>
      </c>
      <c r="C49" s="4" t="s">
        <v>276</v>
      </c>
      <c r="D49" s="4" t="n">
        <v>10</v>
      </c>
      <c r="E49" s="27" t="s">
        <v>130</v>
      </c>
      <c r="G49" s="22" t="s">
        <v>277</v>
      </c>
      <c r="H49" s="4" t="s">
        <v>278</v>
      </c>
      <c r="I49" s="4" t="n">
        <v>9</v>
      </c>
      <c r="J49" s="4" t="n">
        <v>7</v>
      </c>
    </row>
    <row r="50" customFormat="false" ht="15.75" hidden="false" customHeight="false" outlineLevel="0" collapsed="false">
      <c r="A50" s="31" t="n">
        <v>42865.4904111574</v>
      </c>
      <c r="B50" s="32" t="s">
        <v>279</v>
      </c>
      <c r="C50" s="4" t="s">
        <v>280</v>
      </c>
      <c r="D50" s="4" t="n">
        <v>7</v>
      </c>
      <c r="E50" s="27" t="s">
        <v>281</v>
      </c>
      <c r="G50" s="4"/>
      <c r="H50" s="4" t="s">
        <v>282</v>
      </c>
      <c r="I50" s="4" t="n">
        <v>9</v>
      </c>
      <c r="J50" s="4" t="n">
        <v>4</v>
      </c>
    </row>
    <row r="51" customFormat="false" ht="15.75" hidden="false" customHeight="false" outlineLevel="0" collapsed="false">
      <c r="A51" s="31" t="n">
        <v>42866.6323095139</v>
      </c>
      <c r="B51" s="32" t="s">
        <v>283</v>
      </c>
      <c r="C51" s="4" t="s">
        <v>95</v>
      </c>
      <c r="D51" s="4" t="n">
        <v>9</v>
      </c>
      <c r="E51" s="27" t="s">
        <v>130</v>
      </c>
      <c r="G51" s="22" t="s">
        <v>284</v>
      </c>
      <c r="H51" s="4" t="s">
        <v>285</v>
      </c>
      <c r="I51" s="4" t="n">
        <v>2</v>
      </c>
      <c r="J51" s="4" t="n">
        <v>6</v>
      </c>
    </row>
    <row r="52" customFormat="false" ht="15.75" hidden="false" customHeight="false" outlineLevel="0" collapsed="false">
      <c r="A52" s="31" t="n">
        <v>42866.7021541435</v>
      </c>
      <c r="B52" s="32" t="s">
        <v>286</v>
      </c>
      <c r="C52" s="4" t="s">
        <v>280</v>
      </c>
      <c r="D52" s="4" t="n">
        <v>11</v>
      </c>
      <c r="E52" s="27" t="s">
        <v>287</v>
      </c>
      <c r="G52" s="22" t="s">
        <v>288</v>
      </c>
      <c r="H52" s="4" t="s">
        <v>289</v>
      </c>
      <c r="I52" s="4" t="n">
        <v>8</v>
      </c>
      <c r="J52" s="4" t="n">
        <v>10</v>
      </c>
    </row>
    <row r="53" customFormat="false" ht="15.75" hidden="false" customHeight="false" outlineLevel="0" collapsed="false">
      <c r="A53" s="31" t="n">
        <v>42866.7549329745</v>
      </c>
      <c r="B53" s="32" t="s">
        <v>290</v>
      </c>
      <c r="C53" s="4" t="s">
        <v>291</v>
      </c>
      <c r="D53" s="4" t="n">
        <v>9</v>
      </c>
      <c r="E53" s="27" t="s">
        <v>292</v>
      </c>
      <c r="G53" s="22" t="s">
        <v>293</v>
      </c>
      <c r="H53" s="4" t="s">
        <v>294</v>
      </c>
      <c r="I53" s="4" t="n">
        <v>10</v>
      </c>
      <c r="J53" s="4" t="n">
        <v>6</v>
      </c>
    </row>
    <row r="54" customFormat="false" ht="15.75" hidden="false" customHeight="false" outlineLevel="0" collapsed="false">
      <c r="A54" s="31" t="n">
        <v>42866.7996534028</v>
      </c>
      <c r="B54" s="32" t="s">
        <v>295</v>
      </c>
      <c r="C54" s="4" t="s">
        <v>142</v>
      </c>
      <c r="D54" s="4" t="n">
        <v>10</v>
      </c>
      <c r="E54" s="27" t="s">
        <v>296</v>
      </c>
      <c r="G54" s="22" t="s">
        <v>297</v>
      </c>
      <c r="H54" s="4" t="s">
        <v>298</v>
      </c>
      <c r="I54" s="4" t="n">
        <v>10</v>
      </c>
      <c r="J54" s="4" t="n">
        <v>4</v>
      </c>
    </row>
    <row r="55" customFormat="false" ht="15.75" hidden="false" customHeight="false" outlineLevel="0" collapsed="false">
      <c r="A55" s="31" t="n">
        <v>42866.8672605671</v>
      </c>
      <c r="B55" s="32" t="s">
        <v>299</v>
      </c>
      <c r="C55" s="4" t="s">
        <v>300</v>
      </c>
      <c r="D55" s="4" t="n">
        <v>10</v>
      </c>
      <c r="E55" s="27" t="s">
        <v>301</v>
      </c>
      <c r="F55" s="4" t="s">
        <v>302</v>
      </c>
      <c r="G55" s="22" t="s">
        <v>303</v>
      </c>
      <c r="H55" s="4" t="s">
        <v>304</v>
      </c>
      <c r="I55" s="4" t="n">
        <v>9</v>
      </c>
      <c r="J55" s="4" t="n">
        <v>7</v>
      </c>
    </row>
    <row r="56" customFormat="false" ht="15.75" hidden="false" customHeight="false" outlineLevel="0" collapsed="false">
      <c r="A56" s="31" t="n">
        <v>42867.3519432523</v>
      </c>
      <c r="B56" s="32" t="s">
        <v>305</v>
      </c>
      <c r="C56" s="4" t="s">
        <v>306</v>
      </c>
      <c r="D56" s="4" t="n">
        <v>11</v>
      </c>
      <c r="E56" s="27" t="s">
        <v>130</v>
      </c>
      <c r="G56" s="22" t="s">
        <v>307</v>
      </c>
      <c r="H56" s="4" t="s">
        <v>308</v>
      </c>
      <c r="I56" s="4" t="n">
        <v>9</v>
      </c>
      <c r="J56" s="4" t="n">
        <v>8</v>
      </c>
    </row>
    <row r="57" customFormat="false" ht="15.75" hidden="false" customHeight="false" outlineLevel="0" collapsed="false">
      <c r="A57" s="31" t="n">
        <v>42868.7708860069</v>
      </c>
      <c r="B57" s="32" t="s">
        <v>309</v>
      </c>
      <c r="C57" s="4" t="s">
        <v>195</v>
      </c>
      <c r="D57" s="4" t="n">
        <v>10</v>
      </c>
      <c r="E57" s="27" t="s">
        <v>130</v>
      </c>
      <c r="F57" s="4" t="s">
        <v>310</v>
      </c>
      <c r="G57" s="22" t="s">
        <v>311</v>
      </c>
      <c r="H57" s="4" t="s">
        <v>312</v>
      </c>
      <c r="I57" s="4" t="n">
        <v>2</v>
      </c>
      <c r="J57" s="4" t="n">
        <v>6</v>
      </c>
    </row>
    <row r="58" customFormat="false" ht="15.75" hidden="false" customHeight="false" outlineLevel="0" collapsed="false">
      <c r="A58" s="31" t="n">
        <v>42869.3381051852</v>
      </c>
      <c r="B58" s="32" t="s">
        <v>313</v>
      </c>
      <c r="C58" s="4" t="s">
        <v>142</v>
      </c>
      <c r="D58" s="4" t="n">
        <v>10</v>
      </c>
      <c r="E58" s="27" t="s">
        <v>81</v>
      </c>
      <c r="G58" s="22" t="s">
        <v>314</v>
      </c>
      <c r="H58" s="4" t="s">
        <v>315</v>
      </c>
      <c r="I58" s="4" t="n">
        <v>9</v>
      </c>
      <c r="J58" s="4" t="n">
        <v>8</v>
      </c>
    </row>
    <row r="59" customFormat="false" ht="15.75" hidden="false" customHeight="false" outlineLevel="0" collapsed="false">
      <c r="A59" s="31" t="n">
        <v>42869.7128908681</v>
      </c>
      <c r="B59" s="32" t="s">
        <v>316</v>
      </c>
      <c r="C59" s="4" t="s">
        <v>204</v>
      </c>
      <c r="D59" s="4" t="n">
        <v>9</v>
      </c>
      <c r="E59" s="27" t="s">
        <v>40</v>
      </c>
      <c r="G59" s="22" t="s">
        <v>317</v>
      </c>
      <c r="H59" s="4" t="s">
        <v>318</v>
      </c>
      <c r="I59" s="4" t="n">
        <v>4</v>
      </c>
      <c r="J59" s="4" t="n">
        <v>1</v>
      </c>
    </row>
    <row r="60" customFormat="false" ht="15.75" hidden="false" customHeight="false" outlineLevel="0" collapsed="false">
      <c r="A60" s="31" t="n">
        <v>42870.7747876852</v>
      </c>
      <c r="B60" s="32" t="s">
        <v>319</v>
      </c>
      <c r="C60" s="4" t="s">
        <v>204</v>
      </c>
      <c r="D60" s="4" t="n">
        <v>9</v>
      </c>
      <c r="E60" s="27" t="s">
        <v>320</v>
      </c>
      <c r="G60" s="4" t="s">
        <v>321</v>
      </c>
      <c r="H60" s="4" t="s">
        <v>322</v>
      </c>
      <c r="I60" s="4" t="n">
        <v>3</v>
      </c>
      <c r="J60" s="4" t="n">
        <v>8</v>
      </c>
    </row>
    <row r="61" customFormat="false" ht="15.75" hidden="false" customHeight="false" outlineLevel="0" collapsed="false">
      <c r="A61" s="31" t="n">
        <v>42871.2149998495</v>
      </c>
      <c r="B61" s="32" t="s">
        <v>323</v>
      </c>
      <c r="C61" s="4" t="s">
        <v>120</v>
      </c>
      <c r="D61" s="4" t="n">
        <v>9</v>
      </c>
      <c r="E61" s="27" t="s">
        <v>39</v>
      </c>
      <c r="G61" s="22" t="s">
        <v>324</v>
      </c>
      <c r="H61" s="4" t="s">
        <v>325</v>
      </c>
      <c r="I61" s="4" t="n">
        <v>5</v>
      </c>
      <c r="J61" s="4" t="n">
        <v>2</v>
      </c>
    </row>
    <row r="62" customFormat="false" ht="15.75" hidden="false" customHeight="false" outlineLevel="0" collapsed="false">
      <c r="A62" s="31" t="n">
        <v>42871.7113207639</v>
      </c>
      <c r="B62" s="32" t="s">
        <v>326</v>
      </c>
      <c r="C62" s="4" t="s">
        <v>327</v>
      </c>
      <c r="D62" s="4" t="n">
        <v>8</v>
      </c>
      <c r="E62" s="27" t="s">
        <v>328</v>
      </c>
      <c r="G62" s="22" t="s">
        <v>329</v>
      </c>
      <c r="H62" s="4" t="s">
        <v>330</v>
      </c>
      <c r="I62" s="4" t="n">
        <v>5</v>
      </c>
      <c r="J62" s="4" t="n">
        <v>1</v>
      </c>
    </row>
    <row r="63" customFormat="false" ht="15.75" hidden="false" customHeight="false" outlineLevel="0" collapsed="false">
      <c r="A63" s="31" t="n">
        <v>42871.7783947917</v>
      </c>
      <c r="B63" s="32" t="s">
        <v>331</v>
      </c>
      <c r="C63" s="4" t="s">
        <v>332</v>
      </c>
      <c r="D63" s="4" t="n">
        <v>8</v>
      </c>
      <c r="E63" s="27" t="s">
        <v>333</v>
      </c>
      <c r="F63" s="4" t="s">
        <v>334</v>
      </c>
      <c r="G63" s="22" t="s">
        <v>335</v>
      </c>
      <c r="H63" s="4" t="s">
        <v>336</v>
      </c>
      <c r="I63" s="4" t="n">
        <v>10</v>
      </c>
      <c r="J63" s="4" t="n">
        <v>0</v>
      </c>
    </row>
    <row r="64" customFormat="false" ht="15.75" hidden="false" customHeight="false" outlineLevel="0" collapsed="false">
      <c r="A64" s="31" t="n">
        <v>42872.5947653357</v>
      </c>
      <c r="B64" s="32" t="s">
        <v>337</v>
      </c>
      <c r="C64" s="4" t="s">
        <v>338</v>
      </c>
      <c r="D64" s="4" t="n">
        <v>7</v>
      </c>
      <c r="E64" s="27" t="s">
        <v>39</v>
      </c>
      <c r="G64" s="22" t="s">
        <v>339</v>
      </c>
      <c r="H64" s="4" t="s">
        <v>340</v>
      </c>
      <c r="I64" s="4" t="n">
        <v>3</v>
      </c>
      <c r="J64" s="4" t="n">
        <v>8</v>
      </c>
    </row>
    <row r="65" customFormat="false" ht="15.75" hidden="false" customHeight="false" outlineLevel="0" collapsed="false">
      <c r="A65" s="33" t="n">
        <v>42872.5947728241</v>
      </c>
      <c r="B65" s="34" t="s">
        <v>337</v>
      </c>
      <c r="C65" s="34" t="s">
        <v>338</v>
      </c>
      <c r="D65" s="34" t="n">
        <v>7</v>
      </c>
      <c r="E65" s="35" t="s">
        <v>39</v>
      </c>
      <c r="F65" s="36"/>
      <c r="G65" s="37" t="s">
        <v>339</v>
      </c>
      <c r="H65" s="34" t="s">
        <v>340</v>
      </c>
      <c r="I65" s="34" t="n">
        <v>2</v>
      </c>
      <c r="J65" s="34" t="n">
        <v>3</v>
      </c>
    </row>
    <row r="66" customFormat="false" ht="15.75" hidden="false" customHeight="false" outlineLevel="0" collapsed="false">
      <c r="A66" s="38" t="n">
        <v>42872.5950278935</v>
      </c>
      <c r="B66" s="32" t="s">
        <v>337</v>
      </c>
      <c r="C66" s="32" t="s">
        <v>105</v>
      </c>
      <c r="D66" s="32" t="n">
        <v>7</v>
      </c>
      <c r="E66" s="39" t="s">
        <v>39</v>
      </c>
      <c r="F66" s="18"/>
      <c r="G66" s="40" t="s">
        <v>341</v>
      </c>
      <c r="H66" s="32" t="s">
        <v>342</v>
      </c>
      <c r="I66" s="32" t="n">
        <v>4</v>
      </c>
      <c r="J66" s="32" t="n">
        <v>8</v>
      </c>
    </row>
    <row r="67" customFormat="false" ht="15.75" hidden="false" customHeight="false" outlineLevel="0" collapsed="false">
      <c r="A67" s="31" t="n">
        <v>42872.6753967014</v>
      </c>
      <c r="B67" s="32" t="s">
        <v>343</v>
      </c>
      <c r="C67" s="4" t="s">
        <v>344</v>
      </c>
      <c r="D67" s="4" t="n">
        <v>10</v>
      </c>
      <c r="E67" s="27" t="s">
        <v>345</v>
      </c>
      <c r="G67" s="22" t="s">
        <v>346</v>
      </c>
      <c r="H67" s="4" t="s">
        <v>347</v>
      </c>
      <c r="I67" s="4" t="n">
        <v>8</v>
      </c>
      <c r="J67" s="4" t="n">
        <v>1</v>
      </c>
    </row>
    <row r="68" customFormat="false" ht="15.75" hidden="false" customHeight="false" outlineLevel="0" collapsed="false">
      <c r="A68" s="31" t="n">
        <v>42872.6792130903</v>
      </c>
      <c r="B68" s="32" t="s">
        <v>348</v>
      </c>
      <c r="C68" s="4" t="s">
        <v>349</v>
      </c>
      <c r="D68" s="4" t="n">
        <v>7</v>
      </c>
      <c r="E68" s="27" t="s">
        <v>350</v>
      </c>
      <c r="G68" s="4" t="s">
        <v>351</v>
      </c>
      <c r="H68" s="4" t="s">
        <v>352</v>
      </c>
      <c r="I68" s="4" t="n">
        <v>4</v>
      </c>
      <c r="J68" s="4" t="n">
        <v>10</v>
      </c>
    </row>
    <row r="69" customFormat="false" ht="15.75" hidden="false" customHeight="false" outlineLevel="0" collapsed="false">
      <c r="A69" s="31" t="n">
        <v>42872.6856607755</v>
      </c>
      <c r="B69" s="32" t="s">
        <v>353</v>
      </c>
      <c r="C69" s="4" t="s">
        <v>354</v>
      </c>
      <c r="D69" s="4" t="n">
        <v>7</v>
      </c>
      <c r="E69" s="27" t="s">
        <v>355</v>
      </c>
      <c r="G69" s="22" t="s">
        <v>356</v>
      </c>
      <c r="H69" s="4" t="s">
        <v>357</v>
      </c>
      <c r="I69" s="4" t="n">
        <v>4</v>
      </c>
      <c r="J69" s="4" t="n">
        <v>7</v>
      </c>
    </row>
    <row r="70" customFormat="false" ht="15.75" hidden="false" customHeight="false" outlineLevel="0" collapsed="false">
      <c r="A70" s="31" t="n">
        <v>42872.7073397107</v>
      </c>
      <c r="B70" s="32" t="s">
        <v>358</v>
      </c>
      <c r="C70" s="4" t="s">
        <v>359</v>
      </c>
      <c r="D70" s="4" t="n">
        <v>10</v>
      </c>
      <c r="E70" s="27" t="s">
        <v>121</v>
      </c>
      <c r="G70" s="22" t="s">
        <v>360</v>
      </c>
      <c r="H70" s="4" t="s">
        <v>361</v>
      </c>
      <c r="I70" s="4" t="n">
        <v>10</v>
      </c>
      <c r="J70" s="4" t="n">
        <v>7</v>
      </c>
    </row>
    <row r="71" customFormat="false" ht="15.75" hidden="false" customHeight="false" outlineLevel="0" collapsed="false">
      <c r="A71" s="31" t="n">
        <v>42872.7177678357</v>
      </c>
      <c r="B71" s="32" t="s">
        <v>362</v>
      </c>
      <c r="C71" s="4" t="s">
        <v>363</v>
      </c>
      <c r="D71" s="4" t="n">
        <v>7</v>
      </c>
      <c r="E71" s="27" t="s">
        <v>364</v>
      </c>
      <c r="G71" s="22" t="s">
        <v>365</v>
      </c>
      <c r="H71" s="4" t="s">
        <v>366</v>
      </c>
      <c r="I71" s="4" t="n">
        <v>4</v>
      </c>
      <c r="J71" s="4" t="n">
        <v>8</v>
      </c>
    </row>
    <row r="72" customFormat="false" ht="15.75" hidden="false" customHeight="false" outlineLevel="0" collapsed="false">
      <c r="A72" s="31" t="n">
        <v>42872.7245034028</v>
      </c>
      <c r="B72" s="32" t="s">
        <v>367</v>
      </c>
      <c r="C72" s="4" t="s">
        <v>75</v>
      </c>
      <c r="D72" s="4" t="n">
        <v>10</v>
      </c>
      <c r="E72" s="27" t="s">
        <v>368</v>
      </c>
      <c r="G72" s="22" t="s">
        <v>369</v>
      </c>
      <c r="H72" s="4" t="s">
        <v>370</v>
      </c>
      <c r="I72" s="4" t="n">
        <v>3</v>
      </c>
      <c r="J72" s="4" t="n">
        <v>2</v>
      </c>
    </row>
    <row r="73" customFormat="false" ht="15.75" hidden="false" customHeight="false" outlineLevel="0" collapsed="false">
      <c r="A73" s="31" t="n">
        <v>42872.7721950579</v>
      </c>
      <c r="B73" s="32" t="s">
        <v>371</v>
      </c>
      <c r="C73" s="4" t="s">
        <v>154</v>
      </c>
      <c r="D73" s="4" t="n">
        <v>9</v>
      </c>
      <c r="E73" s="27" t="s">
        <v>372</v>
      </c>
      <c r="G73" s="22" t="s">
        <v>373</v>
      </c>
      <c r="H73" s="4" t="s">
        <v>374</v>
      </c>
      <c r="I73" s="4" t="n">
        <v>2</v>
      </c>
      <c r="J73" s="4" t="n">
        <v>10</v>
      </c>
    </row>
    <row r="74" customFormat="false" ht="15.75" hidden="false" customHeight="false" outlineLevel="0" collapsed="false">
      <c r="A74" s="31" t="n">
        <v>42872.8203320718</v>
      </c>
      <c r="B74" s="32" t="s">
        <v>375</v>
      </c>
      <c r="C74" s="4" t="s">
        <v>376</v>
      </c>
      <c r="D74" s="4" t="n">
        <v>7</v>
      </c>
      <c r="E74" s="27" t="s">
        <v>328</v>
      </c>
      <c r="G74" s="22" t="s">
        <v>377</v>
      </c>
      <c r="H74" s="4" t="s">
        <v>378</v>
      </c>
      <c r="I74" s="4" t="n">
        <v>9</v>
      </c>
      <c r="J74" s="4" t="n">
        <v>10</v>
      </c>
    </row>
    <row r="75" customFormat="false" ht="15.75" hidden="false" customHeight="false" outlineLevel="0" collapsed="false">
      <c r="A75" s="31" t="n">
        <v>42873.307792662</v>
      </c>
      <c r="B75" s="32" t="s">
        <v>379</v>
      </c>
      <c r="C75" s="4" t="s">
        <v>159</v>
      </c>
      <c r="D75" s="4" t="n">
        <v>7</v>
      </c>
      <c r="E75" s="27" t="s">
        <v>224</v>
      </c>
      <c r="G75" s="22" t="s">
        <v>380</v>
      </c>
      <c r="H75" s="4" t="s">
        <v>381</v>
      </c>
      <c r="I75" s="4" t="n">
        <v>4</v>
      </c>
      <c r="J75" s="4" t="n">
        <v>10</v>
      </c>
    </row>
    <row r="76" customFormat="false" ht="15.75" hidden="false" customHeight="false" outlineLevel="0" collapsed="false">
      <c r="A76" s="31" t="n">
        <v>42873.3309120949</v>
      </c>
      <c r="B76" s="32" t="s">
        <v>382</v>
      </c>
      <c r="C76" s="4" t="s">
        <v>349</v>
      </c>
      <c r="D76" s="4" t="n">
        <v>10</v>
      </c>
      <c r="E76" s="27" t="s">
        <v>383</v>
      </c>
      <c r="G76" s="22" t="s">
        <v>384</v>
      </c>
      <c r="H76" s="4" t="s">
        <v>385</v>
      </c>
      <c r="I76" s="4" t="n">
        <v>9</v>
      </c>
      <c r="J76" s="4" t="n">
        <v>7</v>
      </c>
    </row>
    <row r="77" customFormat="false" ht="15.75" hidden="false" customHeight="false" outlineLevel="0" collapsed="false">
      <c r="A77" s="31" t="n">
        <v>42873.4117811111</v>
      </c>
      <c r="B77" s="32" t="s">
        <v>386</v>
      </c>
      <c r="C77" s="4" t="s">
        <v>387</v>
      </c>
      <c r="D77" s="4" t="n">
        <v>10</v>
      </c>
      <c r="E77" s="27" t="s">
        <v>39</v>
      </c>
      <c r="G77" s="22" t="s">
        <v>388</v>
      </c>
      <c r="H77" s="4" t="s">
        <v>389</v>
      </c>
      <c r="I77" s="4" t="n">
        <v>1</v>
      </c>
      <c r="J77" s="4" t="n">
        <v>6</v>
      </c>
    </row>
    <row r="78" customFormat="false" ht="15.75" hidden="false" customHeight="false" outlineLevel="0" collapsed="false">
      <c r="A78" s="31" t="n">
        <v>42873.4809587384</v>
      </c>
      <c r="B78" s="32" t="s">
        <v>390</v>
      </c>
      <c r="C78" s="4" t="s">
        <v>195</v>
      </c>
      <c r="D78" s="4" t="n">
        <v>10</v>
      </c>
      <c r="E78" s="27" t="s">
        <v>39</v>
      </c>
      <c r="G78" s="22" t="s">
        <v>391</v>
      </c>
      <c r="H78" s="4" t="s">
        <v>392</v>
      </c>
      <c r="I78" s="4" t="n">
        <v>2</v>
      </c>
      <c r="J78" s="4" t="n">
        <v>6</v>
      </c>
    </row>
    <row r="79" customFormat="false" ht="15.75" hidden="false" customHeight="false" outlineLevel="0" collapsed="false">
      <c r="A79" s="31" t="n">
        <v>42873.4906705324</v>
      </c>
      <c r="B79" s="32" t="s">
        <v>393</v>
      </c>
      <c r="C79" s="4" t="s">
        <v>394</v>
      </c>
      <c r="D79" s="4" t="n">
        <v>9</v>
      </c>
      <c r="E79" s="27" t="s">
        <v>395</v>
      </c>
      <c r="G79" s="22" t="s">
        <v>396</v>
      </c>
      <c r="H79" s="4" t="s">
        <v>397</v>
      </c>
      <c r="I79" s="4" t="n">
        <v>4</v>
      </c>
      <c r="J79" s="4" t="n">
        <v>6</v>
      </c>
    </row>
    <row r="80" customFormat="false" ht="15.75" hidden="false" customHeight="false" outlineLevel="0" collapsed="false">
      <c r="A80" s="31" t="n">
        <v>42873.4908373148</v>
      </c>
      <c r="B80" s="32" t="s">
        <v>393</v>
      </c>
      <c r="C80" s="4" t="s">
        <v>398</v>
      </c>
      <c r="D80" s="4" t="n">
        <v>9</v>
      </c>
      <c r="E80" s="27" t="s">
        <v>395</v>
      </c>
      <c r="G80" s="22" t="s">
        <v>399</v>
      </c>
      <c r="H80" s="4" t="s">
        <v>400</v>
      </c>
      <c r="I80" s="4" t="n">
        <v>9</v>
      </c>
      <c r="J80" s="4" t="n">
        <v>6</v>
      </c>
    </row>
    <row r="81" customFormat="false" ht="15.75" hidden="false" customHeight="false" outlineLevel="0" collapsed="false">
      <c r="A81" s="31" t="n">
        <v>42873.5620194329</v>
      </c>
      <c r="B81" s="32" t="s">
        <v>401</v>
      </c>
      <c r="C81" s="4" t="s">
        <v>349</v>
      </c>
      <c r="D81" s="4" t="n">
        <v>10</v>
      </c>
      <c r="E81" s="27" t="s">
        <v>96</v>
      </c>
      <c r="G81" s="22" t="s">
        <v>402</v>
      </c>
      <c r="H81" s="4" t="s">
        <v>403</v>
      </c>
      <c r="I81" s="4" t="n">
        <v>3</v>
      </c>
      <c r="J81" s="4" t="n">
        <v>4</v>
      </c>
    </row>
    <row r="82" customFormat="false" ht="15.75" hidden="false" customHeight="false" outlineLevel="0" collapsed="false">
      <c r="A82" s="31" t="n">
        <v>42873.6433293634</v>
      </c>
      <c r="B82" s="32" t="s">
        <v>404</v>
      </c>
      <c r="C82" s="4" t="s">
        <v>405</v>
      </c>
      <c r="D82" s="4" t="n">
        <v>10</v>
      </c>
      <c r="E82" s="27" t="s">
        <v>328</v>
      </c>
      <c r="G82" s="22" t="s">
        <v>406</v>
      </c>
      <c r="H82" s="4" t="s">
        <v>407</v>
      </c>
      <c r="I82" s="4" t="n">
        <v>2</v>
      </c>
      <c r="J82" s="4" t="n">
        <v>10</v>
      </c>
    </row>
    <row r="83" customFormat="false" ht="15.75" hidden="false" customHeight="false" outlineLevel="0" collapsed="false">
      <c r="A83" s="31" t="n">
        <v>42873.7157607523</v>
      </c>
      <c r="B83" s="32" t="s">
        <v>408</v>
      </c>
      <c r="C83" s="4" t="s">
        <v>75</v>
      </c>
      <c r="D83" s="4" t="n">
        <v>7</v>
      </c>
      <c r="E83" s="27" t="s">
        <v>409</v>
      </c>
      <c r="G83" s="22" t="s">
        <v>410</v>
      </c>
      <c r="H83" s="4" t="s">
        <v>411</v>
      </c>
      <c r="I83" s="4" t="n">
        <v>4</v>
      </c>
      <c r="J83" s="4" t="n">
        <v>10</v>
      </c>
    </row>
    <row r="84" customFormat="false" ht="15.75" hidden="false" customHeight="false" outlineLevel="0" collapsed="false">
      <c r="A84" s="31" t="n">
        <v>42873.7260288079</v>
      </c>
      <c r="B84" s="32" t="s">
        <v>412</v>
      </c>
      <c r="C84" s="4" t="s">
        <v>413</v>
      </c>
      <c r="D84" s="4" t="n">
        <v>7</v>
      </c>
      <c r="E84" s="27" t="s">
        <v>39</v>
      </c>
      <c r="F84" s="4" t="s">
        <v>414</v>
      </c>
      <c r="G84" s="22" t="s">
        <v>415</v>
      </c>
      <c r="H84" s="4" t="s">
        <v>416</v>
      </c>
      <c r="I84" s="4" t="n">
        <v>3</v>
      </c>
      <c r="J84" s="4" t="n">
        <v>4</v>
      </c>
    </row>
    <row r="85" customFormat="false" ht="15.75" hidden="false" customHeight="false" outlineLevel="0" collapsed="false">
      <c r="A85" s="31" t="n">
        <v>42873.7369209259</v>
      </c>
      <c r="B85" s="32" t="s">
        <v>417</v>
      </c>
      <c r="C85" s="4" t="s">
        <v>90</v>
      </c>
      <c r="D85" s="4" t="n">
        <v>9</v>
      </c>
      <c r="E85" s="27" t="s">
        <v>418</v>
      </c>
      <c r="G85" s="22" t="s">
        <v>419</v>
      </c>
      <c r="H85" s="4" t="s">
        <v>420</v>
      </c>
      <c r="I85" s="4" t="n">
        <v>10</v>
      </c>
      <c r="J85" s="4" t="n">
        <v>4</v>
      </c>
    </row>
    <row r="86" customFormat="false" ht="15.75" hidden="false" customHeight="false" outlineLevel="0" collapsed="false">
      <c r="A86" s="31" t="n">
        <v>42873.809597662</v>
      </c>
      <c r="B86" s="32" t="s">
        <v>421</v>
      </c>
      <c r="C86" s="4" t="s">
        <v>75</v>
      </c>
      <c r="D86" s="4" t="n">
        <v>10</v>
      </c>
      <c r="E86" s="4" t="n">
        <v>117</v>
      </c>
      <c r="G86" s="22" t="s">
        <v>422</v>
      </c>
      <c r="H86" s="4" t="s">
        <v>423</v>
      </c>
      <c r="I86" s="4" t="n">
        <v>5</v>
      </c>
      <c r="J86" s="4" t="n">
        <v>2</v>
      </c>
    </row>
    <row r="87" customFormat="false" ht="15.75" hidden="false" customHeight="false" outlineLevel="0" collapsed="false">
      <c r="A87" s="31" t="n">
        <v>42874.449455</v>
      </c>
      <c r="B87" s="32" t="s">
        <v>424</v>
      </c>
      <c r="C87" s="4" t="s">
        <v>168</v>
      </c>
      <c r="D87" s="4" t="n">
        <v>7</v>
      </c>
      <c r="E87" s="4" t="s">
        <v>61</v>
      </c>
      <c r="G87" s="22" t="s">
        <v>425</v>
      </c>
      <c r="H87" s="4" t="s">
        <v>426</v>
      </c>
      <c r="I87" s="4" t="n">
        <v>4</v>
      </c>
      <c r="J87" s="4" t="n">
        <v>3</v>
      </c>
    </row>
    <row r="88" customFormat="false" ht="15.75" hidden="false" customHeight="false" outlineLevel="0" collapsed="false">
      <c r="A88" s="31" t="n">
        <v>42874.4718696991</v>
      </c>
      <c r="B88" s="32" t="s">
        <v>427</v>
      </c>
      <c r="C88" s="4" t="s">
        <v>428</v>
      </c>
      <c r="D88" s="4" t="n">
        <v>10</v>
      </c>
      <c r="E88" s="4" t="s">
        <v>429</v>
      </c>
      <c r="G88" s="22" t="s">
        <v>430</v>
      </c>
      <c r="H88" s="4" t="s">
        <v>431</v>
      </c>
      <c r="I88" s="4" t="n">
        <v>3</v>
      </c>
      <c r="J88" s="4" t="n">
        <v>4</v>
      </c>
    </row>
    <row r="89" customFormat="false" ht="15.75" hidden="false" customHeight="false" outlineLevel="0" collapsed="false">
      <c r="A89" s="31" t="n">
        <v>42874.7709773727</v>
      </c>
      <c r="B89" s="32" t="s">
        <v>432</v>
      </c>
      <c r="C89" s="4" t="s">
        <v>142</v>
      </c>
      <c r="D89" s="4" t="n">
        <v>7</v>
      </c>
      <c r="E89" s="4" t="s">
        <v>433</v>
      </c>
      <c r="G89" s="22" t="s">
        <v>434</v>
      </c>
      <c r="H89" s="4" t="s">
        <v>435</v>
      </c>
      <c r="I89" s="4" t="n">
        <v>8</v>
      </c>
      <c r="J89" s="4" t="n">
        <v>10</v>
      </c>
    </row>
    <row r="90" customFormat="false" ht="15.75" hidden="false" customHeight="false" outlineLevel="0" collapsed="false">
      <c r="A90" s="31" t="n">
        <v>42875.8208971528</v>
      </c>
      <c r="B90" s="32" t="s">
        <v>436</v>
      </c>
      <c r="C90" s="4" t="s">
        <v>437</v>
      </c>
      <c r="D90" s="4" t="n">
        <v>7</v>
      </c>
      <c r="E90" s="4" t="n">
        <v>117</v>
      </c>
      <c r="G90" s="4" t="s">
        <v>351</v>
      </c>
      <c r="H90" s="4" t="s">
        <v>438</v>
      </c>
      <c r="I90" s="4" t="n">
        <v>1</v>
      </c>
      <c r="J90" s="4" t="n">
        <v>3</v>
      </c>
    </row>
    <row r="91" customFormat="false" ht="15.75" hidden="false" customHeight="false" outlineLevel="0" collapsed="false">
      <c r="A91" s="33" t="n">
        <v>42875.8406085764</v>
      </c>
      <c r="B91" s="34" t="s">
        <v>439</v>
      </c>
      <c r="C91" s="34" t="s">
        <v>440</v>
      </c>
      <c r="D91" s="34" t="n">
        <v>6</v>
      </c>
      <c r="E91" s="34" t="n">
        <v>135</v>
      </c>
      <c r="F91" s="36"/>
      <c r="G91" s="37" t="s">
        <v>441</v>
      </c>
      <c r="H91" s="34" t="s">
        <v>442</v>
      </c>
      <c r="I91" s="34" t="n">
        <v>10</v>
      </c>
      <c r="J91" s="34" t="n">
        <v>0</v>
      </c>
    </row>
    <row r="92" customFormat="false" ht="15.75" hidden="false" customHeight="false" outlineLevel="0" collapsed="false">
      <c r="A92" s="31" t="n">
        <v>42876.2483390509</v>
      </c>
      <c r="B92" s="32" t="s">
        <v>443</v>
      </c>
      <c r="C92" s="4" t="s">
        <v>398</v>
      </c>
      <c r="D92" s="4" t="n">
        <v>9</v>
      </c>
      <c r="E92" s="4" t="s">
        <v>61</v>
      </c>
      <c r="G92" s="22" t="s">
        <v>444</v>
      </c>
      <c r="H92" s="4" t="s">
        <v>445</v>
      </c>
      <c r="I92" s="4" t="n">
        <v>9</v>
      </c>
      <c r="J92" s="4" t="n">
        <v>7</v>
      </c>
    </row>
    <row r="93" customFormat="false" ht="15.75" hidden="false" customHeight="false" outlineLevel="0" collapsed="false">
      <c r="A93" s="31" t="n">
        <v>42876.7135603356</v>
      </c>
      <c r="B93" s="32" t="s">
        <v>446</v>
      </c>
      <c r="C93" s="4" t="s">
        <v>164</v>
      </c>
      <c r="D93" s="4" t="n">
        <v>9</v>
      </c>
      <c r="E93" s="4" t="n">
        <v>64</v>
      </c>
      <c r="G93" s="22" t="s">
        <v>447</v>
      </c>
      <c r="H93" s="4" t="s">
        <v>448</v>
      </c>
      <c r="I93" s="4" t="n">
        <v>1</v>
      </c>
      <c r="J93" s="4" t="n">
        <v>10</v>
      </c>
    </row>
    <row r="94" customFormat="false" ht="15.75" hidden="false" customHeight="false" outlineLevel="0" collapsed="false">
      <c r="A94" s="31" t="n">
        <v>42876.898788287</v>
      </c>
      <c r="B94" s="32" t="s">
        <v>449</v>
      </c>
      <c r="C94" s="4" t="s">
        <v>450</v>
      </c>
      <c r="D94" s="4" t="n">
        <v>10</v>
      </c>
      <c r="E94" s="4" t="s">
        <v>172</v>
      </c>
      <c r="G94" s="22" t="s">
        <v>451</v>
      </c>
      <c r="H94" s="4" t="s">
        <v>452</v>
      </c>
      <c r="I94" s="4" t="n">
        <v>2</v>
      </c>
      <c r="J94" s="4" t="n">
        <v>4</v>
      </c>
    </row>
    <row r="95" customFormat="false" ht="15.75" hidden="false" customHeight="false" outlineLevel="0" collapsed="false">
      <c r="A95" s="31" t="n">
        <v>42876.9274625926</v>
      </c>
      <c r="B95" s="32" t="s">
        <v>453</v>
      </c>
      <c r="C95" s="4" t="s">
        <v>204</v>
      </c>
      <c r="D95" s="4" t="n">
        <v>9</v>
      </c>
      <c r="E95" s="4" t="s">
        <v>454</v>
      </c>
      <c r="F95" s="4" t="s">
        <v>455</v>
      </c>
      <c r="G95" s="22" t="s">
        <v>456</v>
      </c>
      <c r="H95" s="4" t="s">
        <v>457</v>
      </c>
      <c r="I95" s="4" t="n">
        <v>3</v>
      </c>
      <c r="J95" s="4" t="n">
        <v>8</v>
      </c>
    </row>
    <row r="96" customFormat="false" ht="15.75" hidden="false" customHeight="false" outlineLevel="0" collapsed="false">
      <c r="A96" s="31" t="n">
        <v>42877.6324631713</v>
      </c>
      <c r="B96" s="32" t="s">
        <v>458</v>
      </c>
      <c r="C96" s="4" t="s">
        <v>261</v>
      </c>
      <c r="D96" s="4" t="n">
        <v>10</v>
      </c>
      <c r="E96" s="4" t="s">
        <v>292</v>
      </c>
      <c r="G96" s="22" t="s">
        <v>459</v>
      </c>
      <c r="H96" s="4" t="s">
        <v>460</v>
      </c>
      <c r="I96" s="4" t="n">
        <v>10</v>
      </c>
      <c r="J96" s="4" t="n">
        <v>7</v>
      </c>
    </row>
    <row r="97" customFormat="false" ht="15.75" hidden="false" customHeight="false" outlineLevel="0" collapsed="false">
      <c r="A97" s="31" t="n">
        <v>42877.6514399769</v>
      </c>
      <c r="B97" s="32" t="s">
        <v>461</v>
      </c>
      <c r="C97" s="4" t="s">
        <v>256</v>
      </c>
      <c r="D97" s="4" t="n">
        <v>7</v>
      </c>
      <c r="E97" s="4" t="n">
        <v>117</v>
      </c>
      <c r="G97" s="22" t="s">
        <v>462</v>
      </c>
      <c r="H97" s="4" t="s">
        <v>463</v>
      </c>
      <c r="I97" s="4" t="n">
        <v>10</v>
      </c>
      <c r="J97" s="4" t="n">
        <v>3</v>
      </c>
    </row>
    <row r="98" customFormat="false" ht="15.75" hidden="false" customHeight="false" outlineLevel="0" collapsed="false">
      <c r="A98" s="31" t="n">
        <v>42877.7917841667</v>
      </c>
      <c r="B98" s="4" t="s">
        <v>464</v>
      </c>
      <c r="C98" s="4" t="s">
        <v>75</v>
      </c>
      <c r="D98" s="4" t="n">
        <v>8</v>
      </c>
      <c r="E98" s="4" t="s">
        <v>465</v>
      </c>
      <c r="G98" s="22" t="s">
        <v>466</v>
      </c>
      <c r="H98" s="4" t="s">
        <v>467</v>
      </c>
      <c r="I98" s="4" t="n">
        <v>4</v>
      </c>
      <c r="J98" s="4" t="n">
        <v>8</v>
      </c>
    </row>
    <row r="99" customFormat="false" ht="15.75" hidden="false" customHeight="false" outlineLevel="0" collapsed="false">
      <c r="A99" s="31" t="n">
        <v>42878.3559405556</v>
      </c>
      <c r="B99" s="4" t="s">
        <v>468</v>
      </c>
      <c r="C99" s="4" t="s">
        <v>105</v>
      </c>
      <c r="D99" s="4" t="n">
        <v>10</v>
      </c>
      <c r="E99" s="4" t="s">
        <v>96</v>
      </c>
      <c r="G99" s="22" t="s">
        <v>469</v>
      </c>
      <c r="H99" s="4" t="s">
        <v>470</v>
      </c>
      <c r="I99" s="4" t="n">
        <v>9</v>
      </c>
      <c r="J99" s="4" t="n">
        <v>8</v>
      </c>
    </row>
    <row r="100" customFormat="false" ht="15.75" hidden="false" customHeight="false" outlineLevel="0" collapsed="false">
      <c r="A100" s="31" t="n">
        <v>42879.7349168866</v>
      </c>
      <c r="B100" s="4" t="s">
        <v>471</v>
      </c>
      <c r="C100" s="4" t="s">
        <v>472</v>
      </c>
      <c r="D100" s="4" t="n">
        <v>7</v>
      </c>
      <c r="E100" s="4" t="n">
        <v>117</v>
      </c>
      <c r="G100" s="4" t="s">
        <v>33</v>
      </c>
      <c r="H100" s="4" t="s">
        <v>473</v>
      </c>
      <c r="I100" s="4" t="n">
        <v>3</v>
      </c>
      <c r="J100" s="4" t="n">
        <v>7</v>
      </c>
    </row>
    <row r="101" customFormat="false" ht="15.75" hidden="false" customHeight="false" outlineLevel="0" collapsed="false">
      <c r="A101" s="33" t="n">
        <v>42881.3022344792</v>
      </c>
      <c r="B101" s="34" t="s">
        <v>401</v>
      </c>
      <c r="C101" s="34" t="s">
        <v>349</v>
      </c>
      <c r="D101" s="34" t="n">
        <v>10</v>
      </c>
      <c r="E101" s="34" t="s">
        <v>121</v>
      </c>
      <c r="F101" s="36"/>
      <c r="G101" s="37" t="s">
        <v>474</v>
      </c>
      <c r="H101" s="34" t="s">
        <v>403</v>
      </c>
      <c r="I101" s="34" t="n">
        <v>3</v>
      </c>
      <c r="J101" s="34" t="n">
        <v>4</v>
      </c>
    </row>
    <row r="102" customFormat="false" ht="15.75" hidden="false" customHeight="false" outlineLevel="0" collapsed="false">
      <c r="A102" s="31" t="n">
        <v>42881.574021007</v>
      </c>
      <c r="B102" s="4" t="s">
        <v>475</v>
      </c>
      <c r="C102" s="4" t="s">
        <v>450</v>
      </c>
      <c r="D102" s="4" t="n">
        <v>10</v>
      </c>
      <c r="E102" s="4" t="s">
        <v>476</v>
      </c>
      <c r="G102" s="22" t="s">
        <v>477</v>
      </c>
      <c r="H102" s="4" t="s">
        <v>478</v>
      </c>
      <c r="I102" s="4" t="n">
        <v>3</v>
      </c>
      <c r="J102" s="4" t="n">
        <v>4</v>
      </c>
    </row>
    <row r="103" customFormat="false" ht="15.75" hidden="false" customHeight="false" outlineLevel="0" collapsed="false">
      <c r="A103" s="31" t="n">
        <v>42882.369833206</v>
      </c>
      <c r="B103" s="4" t="s">
        <v>479</v>
      </c>
      <c r="C103" s="4" t="s">
        <v>480</v>
      </c>
      <c r="D103" s="4" t="n">
        <v>8</v>
      </c>
      <c r="E103" s="4" t="s">
        <v>328</v>
      </c>
      <c r="G103" s="22" t="s">
        <v>481</v>
      </c>
      <c r="H103" s="4" t="s">
        <v>482</v>
      </c>
      <c r="I103" s="4" t="n">
        <v>5</v>
      </c>
      <c r="J103" s="4" t="n">
        <v>4</v>
      </c>
    </row>
    <row r="104" customFormat="false" ht="15.75" hidden="false" customHeight="false" outlineLevel="0" collapsed="false">
      <c r="A104" s="31" t="n">
        <v>42882.3804788542</v>
      </c>
      <c r="B104" s="4" t="s">
        <v>483</v>
      </c>
      <c r="C104" s="4" t="s">
        <v>354</v>
      </c>
      <c r="D104" s="4" t="n">
        <v>8</v>
      </c>
      <c r="E104" s="4" t="s">
        <v>328</v>
      </c>
      <c r="G104" s="22" t="s">
        <v>484</v>
      </c>
      <c r="H104" s="4" t="s">
        <v>485</v>
      </c>
      <c r="I104" s="4" t="n">
        <v>9</v>
      </c>
      <c r="J104" s="4" t="n">
        <v>10</v>
      </c>
    </row>
    <row r="105" customFormat="false" ht="15.75" hidden="false" customHeight="false" outlineLevel="0" collapsed="false">
      <c r="A105" s="31" t="n">
        <v>42882.7837978241</v>
      </c>
      <c r="B105" s="4" t="s">
        <v>486</v>
      </c>
      <c r="C105" s="4" t="s">
        <v>487</v>
      </c>
      <c r="D105" s="4" t="n">
        <v>10</v>
      </c>
      <c r="E105" s="4" t="s">
        <v>96</v>
      </c>
      <c r="G105" s="22" t="s">
        <v>488</v>
      </c>
      <c r="H105" s="4" t="s">
        <v>489</v>
      </c>
      <c r="I105" s="4" t="n">
        <v>9</v>
      </c>
      <c r="J105" s="4" t="n">
        <v>8</v>
      </c>
    </row>
    <row r="106" customFormat="false" ht="15.75" hidden="false" customHeight="false" outlineLevel="0" collapsed="false">
      <c r="A106" s="31" t="n">
        <v>42882.8283803357</v>
      </c>
      <c r="B106" s="4" t="s">
        <v>490</v>
      </c>
      <c r="C106" s="4" t="s">
        <v>150</v>
      </c>
      <c r="D106" s="4" t="n">
        <v>10</v>
      </c>
      <c r="E106" s="4" t="s">
        <v>121</v>
      </c>
      <c r="G106" s="22" t="s">
        <v>491</v>
      </c>
      <c r="H106" s="4" t="s">
        <v>492</v>
      </c>
      <c r="I106" s="4" t="n">
        <v>8</v>
      </c>
      <c r="J106" s="4" t="n">
        <v>7</v>
      </c>
    </row>
    <row r="107" customFormat="false" ht="15.75" hidden="false" customHeight="false" outlineLevel="0" collapsed="false">
      <c r="A107" s="31" t="n">
        <v>42882.889410081</v>
      </c>
      <c r="B107" s="4" t="s">
        <v>493</v>
      </c>
      <c r="C107" s="4" t="s">
        <v>228</v>
      </c>
      <c r="D107" s="4" t="n">
        <v>10</v>
      </c>
      <c r="E107" s="4" t="s">
        <v>494</v>
      </c>
      <c r="G107" s="22" t="s">
        <v>495</v>
      </c>
      <c r="H107" s="4" t="s">
        <v>496</v>
      </c>
      <c r="I107" s="4" t="n">
        <v>9</v>
      </c>
      <c r="J107" s="4" t="n">
        <v>7</v>
      </c>
    </row>
    <row r="108" customFormat="false" ht="15.75" hidden="false" customHeight="false" outlineLevel="0" collapsed="false">
      <c r="A108" s="31" t="n">
        <v>42883.3866727431</v>
      </c>
      <c r="B108" s="4" t="s">
        <v>497</v>
      </c>
      <c r="C108" s="4" t="s">
        <v>498</v>
      </c>
      <c r="D108" s="4" t="n">
        <v>7</v>
      </c>
      <c r="E108" s="4" t="s">
        <v>71</v>
      </c>
      <c r="F108" s="4" t="s">
        <v>499</v>
      </c>
      <c r="G108" s="22" t="s">
        <v>500</v>
      </c>
      <c r="H108" s="4" t="s">
        <v>501</v>
      </c>
      <c r="I108" s="4" t="n">
        <v>4</v>
      </c>
      <c r="J108" s="4" t="n">
        <v>3</v>
      </c>
    </row>
    <row r="109" customFormat="false" ht="15.75" hidden="false" customHeight="false" outlineLevel="0" collapsed="false">
      <c r="A109" s="31" t="n">
        <v>42883.5582603472</v>
      </c>
      <c r="B109" s="4" t="s">
        <v>502</v>
      </c>
      <c r="C109" s="4" t="s">
        <v>280</v>
      </c>
      <c r="D109" s="4" t="n">
        <v>8</v>
      </c>
      <c r="E109" s="4" t="s">
        <v>503</v>
      </c>
      <c r="G109" s="22" t="s">
        <v>504</v>
      </c>
      <c r="H109" s="4" t="s">
        <v>351</v>
      </c>
      <c r="I109" s="4" t="n">
        <v>9</v>
      </c>
      <c r="J109" s="4" t="n">
        <v>7</v>
      </c>
    </row>
    <row r="110" customFormat="false" ht="15.75" hidden="false" customHeight="false" outlineLevel="0" collapsed="false">
      <c r="A110" s="31" t="n">
        <v>42884.4530889005</v>
      </c>
      <c r="B110" s="4" t="s">
        <v>505</v>
      </c>
      <c r="C110" s="4" t="s">
        <v>506</v>
      </c>
      <c r="D110" s="4" t="n">
        <v>7</v>
      </c>
      <c r="E110" s="4" t="s">
        <v>507</v>
      </c>
      <c r="F110" s="4" t="s">
        <v>508</v>
      </c>
      <c r="G110" s="22" t="s">
        <v>509</v>
      </c>
      <c r="H110" s="4" t="s">
        <v>510</v>
      </c>
      <c r="I110" s="4" t="n">
        <v>1</v>
      </c>
      <c r="J110" s="4" t="n">
        <v>3</v>
      </c>
    </row>
    <row r="111" customFormat="false" ht="15.75" hidden="false" customHeight="false" outlineLevel="0" collapsed="false">
      <c r="A111" s="31" t="n">
        <v>42884.4738984375</v>
      </c>
      <c r="B111" s="4" t="s">
        <v>511</v>
      </c>
      <c r="C111" s="4" t="s">
        <v>512</v>
      </c>
      <c r="D111" s="4" t="n">
        <v>7</v>
      </c>
      <c r="E111" s="4" t="n">
        <v>146</v>
      </c>
      <c r="G111" s="22" t="s">
        <v>513</v>
      </c>
      <c r="H111" s="4" t="s">
        <v>514</v>
      </c>
      <c r="I111" s="4" t="n">
        <v>9</v>
      </c>
      <c r="J111" s="4" t="n">
        <v>7</v>
      </c>
    </row>
    <row r="112" customFormat="false" ht="15.75" hidden="false" customHeight="false" outlineLevel="0" collapsed="false">
      <c r="A112" s="31" t="n">
        <v>42884.6575897685</v>
      </c>
      <c r="B112" s="4" t="s">
        <v>515</v>
      </c>
      <c r="C112" s="4" t="s">
        <v>498</v>
      </c>
      <c r="D112" s="4" t="n">
        <v>5</v>
      </c>
      <c r="E112" s="4" t="s">
        <v>516</v>
      </c>
      <c r="G112" s="22" t="s">
        <v>517</v>
      </c>
      <c r="H112" s="4" t="s">
        <v>518</v>
      </c>
      <c r="I112" s="4" t="n">
        <v>8</v>
      </c>
      <c r="J112" s="4" t="n">
        <v>0</v>
      </c>
    </row>
    <row r="113" customFormat="false" ht="15.75" hidden="false" customHeight="false" outlineLevel="0" collapsed="false">
      <c r="A113" s="31" t="n">
        <v>42884.7318112384</v>
      </c>
      <c r="B113" s="4" t="s">
        <v>519</v>
      </c>
      <c r="C113" s="4" t="s">
        <v>498</v>
      </c>
      <c r="D113" s="4" t="n">
        <v>7</v>
      </c>
      <c r="E113" s="4" t="s">
        <v>328</v>
      </c>
      <c r="G113" s="22" t="s">
        <v>520</v>
      </c>
      <c r="H113" s="4" t="s">
        <v>521</v>
      </c>
      <c r="I113" s="4" t="n">
        <v>10</v>
      </c>
      <c r="J113" s="4" t="n">
        <v>7</v>
      </c>
    </row>
    <row r="114" customFormat="false" ht="15.75" hidden="false" customHeight="false" outlineLevel="0" collapsed="false">
      <c r="A114" s="31" t="n">
        <v>42884.7685511458</v>
      </c>
      <c r="B114" s="4" t="s">
        <v>522</v>
      </c>
      <c r="C114" s="4" t="s">
        <v>523</v>
      </c>
      <c r="D114" s="4" t="n">
        <v>7</v>
      </c>
      <c r="E114" s="4" t="n">
        <v>117</v>
      </c>
      <c r="G114" s="22" t="s">
        <v>524</v>
      </c>
      <c r="H114" s="4" t="s">
        <v>525</v>
      </c>
      <c r="I114" s="4" t="n">
        <v>9</v>
      </c>
      <c r="J114" s="4" t="n">
        <v>7</v>
      </c>
    </row>
    <row r="115" customFormat="false" ht="15.75" hidden="false" customHeight="false" outlineLevel="0" collapsed="false">
      <c r="A115" s="33" t="n">
        <v>42885.0777490162</v>
      </c>
      <c r="B115" s="34" t="s">
        <v>511</v>
      </c>
      <c r="C115" s="34" t="s">
        <v>512</v>
      </c>
      <c r="D115" s="34" t="n">
        <v>7</v>
      </c>
      <c r="E115" s="34" t="n">
        <v>146</v>
      </c>
      <c r="F115" s="36"/>
      <c r="G115" s="37" t="s">
        <v>513</v>
      </c>
      <c r="H115" s="34" t="s">
        <v>514</v>
      </c>
      <c r="I115" s="34" t="n">
        <v>9</v>
      </c>
      <c r="J115" s="34" t="n">
        <v>7</v>
      </c>
    </row>
    <row r="116" customFormat="false" ht="15.75" hidden="false" customHeight="false" outlineLevel="0" collapsed="false">
      <c r="A116" s="31" t="n">
        <v>42885.2685068866</v>
      </c>
      <c r="B116" s="4" t="s">
        <v>526</v>
      </c>
      <c r="C116" s="4" t="s">
        <v>527</v>
      </c>
      <c r="D116" s="4" t="n">
        <v>8</v>
      </c>
      <c r="E116" s="4" t="s">
        <v>281</v>
      </c>
      <c r="G116" s="22" t="s">
        <v>528</v>
      </c>
      <c r="H116" s="4" t="s">
        <v>529</v>
      </c>
      <c r="I116" s="4" t="n">
        <v>5</v>
      </c>
      <c r="J116" s="4" t="n">
        <v>6</v>
      </c>
    </row>
    <row r="117" customFormat="false" ht="15.75" hidden="false" customHeight="false" outlineLevel="0" collapsed="false">
      <c r="A117" s="31" t="n">
        <v>42885.3605682292</v>
      </c>
      <c r="B117" s="4" t="s">
        <v>530</v>
      </c>
      <c r="C117" s="4" t="s">
        <v>306</v>
      </c>
      <c r="D117" s="4" t="n">
        <v>7</v>
      </c>
      <c r="E117" s="4" t="n">
        <v>117</v>
      </c>
      <c r="G117" s="22" t="s">
        <v>531</v>
      </c>
      <c r="H117" s="4" t="s">
        <v>532</v>
      </c>
      <c r="I117" s="4" t="n">
        <v>4</v>
      </c>
      <c r="J117" s="4" t="n">
        <v>8</v>
      </c>
    </row>
    <row r="118" customFormat="false" ht="15.75" hidden="false" customHeight="false" outlineLevel="0" collapsed="false">
      <c r="A118" s="41" t="n">
        <v>42885.4317148727</v>
      </c>
      <c r="B118" s="29" t="s">
        <v>533</v>
      </c>
      <c r="C118" s="29" t="s">
        <v>398</v>
      </c>
      <c r="D118" s="29" t="n">
        <v>10</v>
      </c>
      <c r="E118" s="29" t="n">
        <v>107</v>
      </c>
      <c r="F118" s="19"/>
      <c r="G118" s="42" t="s">
        <v>534</v>
      </c>
      <c r="H118" s="29" t="s">
        <v>535</v>
      </c>
      <c r="I118" s="29" t="n">
        <v>3</v>
      </c>
      <c r="J118" s="29" t="n">
        <v>4</v>
      </c>
    </row>
    <row r="119" customFormat="false" ht="15.75" hidden="false" customHeight="false" outlineLevel="0" collapsed="false">
      <c r="A119" s="31" t="n">
        <v>42885.7266608796</v>
      </c>
      <c r="B119" s="4" t="s">
        <v>536</v>
      </c>
      <c r="C119" s="4" t="s">
        <v>487</v>
      </c>
      <c r="D119" s="4" t="n">
        <v>8</v>
      </c>
      <c r="E119" s="4" t="s">
        <v>537</v>
      </c>
      <c r="G119" s="22" t="s">
        <v>538</v>
      </c>
      <c r="H119" s="4" t="s">
        <v>539</v>
      </c>
      <c r="I119" s="4" t="n">
        <v>9</v>
      </c>
      <c r="J119" s="4" t="n">
        <v>7</v>
      </c>
    </row>
    <row r="120" customFormat="false" ht="15.75" hidden="false" customHeight="false" outlineLevel="0" collapsed="false">
      <c r="A120" s="31" t="n">
        <v>42885.770997963</v>
      </c>
      <c r="B120" s="4" t="s">
        <v>540</v>
      </c>
      <c r="C120" s="4" t="s">
        <v>176</v>
      </c>
      <c r="D120" s="4" t="n">
        <v>8</v>
      </c>
      <c r="E120" s="4" t="s">
        <v>96</v>
      </c>
      <c r="G120" s="22" t="s">
        <v>541</v>
      </c>
      <c r="H120" s="4" t="s">
        <v>542</v>
      </c>
      <c r="I120" s="4" t="n">
        <v>9</v>
      </c>
      <c r="J120" s="4" t="n">
        <v>8</v>
      </c>
    </row>
    <row r="121" customFormat="false" ht="15.75" hidden="false" customHeight="false" outlineLevel="0" collapsed="false">
      <c r="A121" s="31" t="n">
        <v>42886.5930913079</v>
      </c>
      <c r="B121" s="4" t="s">
        <v>543</v>
      </c>
      <c r="C121" s="4" t="s">
        <v>480</v>
      </c>
      <c r="D121" s="4" t="n">
        <v>7</v>
      </c>
      <c r="E121" s="4" t="n">
        <v>117</v>
      </c>
      <c r="G121" s="22" t="s">
        <v>544</v>
      </c>
      <c r="H121" s="4" t="s">
        <v>545</v>
      </c>
      <c r="I121" s="4" t="n">
        <v>4</v>
      </c>
      <c r="J121" s="4" t="n">
        <v>3</v>
      </c>
    </row>
    <row r="122" customFormat="false" ht="15.75" hidden="false" customHeight="false" outlineLevel="0" collapsed="false">
      <c r="A122" s="31" t="n">
        <v>42886.7004684028</v>
      </c>
      <c r="B122" s="4" t="s">
        <v>546</v>
      </c>
      <c r="C122" s="4" t="s">
        <v>547</v>
      </c>
      <c r="D122" s="4" t="n">
        <v>11</v>
      </c>
      <c r="E122" s="27" t="s">
        <v>39</v>
      </c>
      <c r="G122" s="22" t="s">
        <v>548</v>
      </c>
      <c r="H122" s="4" t="s">
        <v>549</v>
      </c>
      <c r="I122" s="4" t="n">
        <v>1</v>
      </c>
      <c r="J122" s="4" t="n">
        <v>2</v>
      </c>
    </row>
    <row r="123" customFormat="false" ht="15.75" hidden="false" customHeight="false" outlineLevel="0" collapsed="false">
      <c r="A123" s="33" t="n">
        <v>42886.8399355324</v>
      </c>
      <c r="B123" s="34" t="s">
        <v>530</v>
      </c>
      <c r="C123" s="34" t="s">
        <v>306</v>
      </c>
      <c r="D123" s="34" t="n">
        <v>7</v>
      </c>
      <c r="E123" s="34" t="n">
        <v>117</v>
      </c>
      <c r="F123" s="34" t="s">
        <v>550</v>
      </c>
      <c r="G123" s="34" t="s">
        <v>551</v>
      </c>
      <c r="H123" s="34" t="s">
        <v>532</v>
      </c>
      <c r="I123" s="34" t="n">
        <v>4</v>
      </c>
      <c r="J123" s="34" t="n">
        <v>6</v>
      </c>
    </row>
    <row r="124" customFormat="false" ht="15.75" hidden="false" customHeight="false" outlineLevel="0" collapsed="false">
      <c r="A124" s="31" t="n">
        <v>42886.8411061921</v>
      </c>
      <c r="B124" s="4" t="s">
        <v>552</v>
      </c>
      <c r="C124" s="4" t="s">
        <v>256</v>
      </c>
      <c r="D124" s="4" t="n">
        <v>7</v>
      </c>
      <c r="E124" s="4" t="n">
        <v>117</v>
      </c>
      <c r="F124" s="4" t="s">
        <v>553</v>
      </c>
      <c r="G124" s="4" t="s">
        <v>554</v>
      </c>
      <c r="H124" s="4" t="s">
        <v>555</v>
      </c>
      <c r="I124" s="4" t="n">
        <v>4</v>
      </c>
      <c r="J124" s="4" t="n">
        <v>3</v>
      </c>
    </row>
    <row r="125" customFormat="false" ht="15.75" hidden="false" customHeight="false" outlineLevel="0" collapsed="false">
      <c r="A125" s="31" t="n">
        <v>42887.5177134144</v>
      </c>
      <c r="B125" s="4" t="s">
        <v>439</v>
      </c>
      <c r="C125" s="4" t="s">
        <v>440</v>
      </c>
      <c r="D125" s="4" t="n">
        <v>6</v>
      </c>
      <c r="E125" s="4" t="n">
        <v>35</v>
      </c>
      <c r="G125" s="40" t="s">
        <v>441</v>
      </c>
      <c r="H125" s="4" t="s">
        <v>442</v>
      </c>
      <c r="I125" s="4" t="n">
        <v>10</v>
      </c>
      <c r="J125" s="4" t="n">
        <v>1</v>
      </c>
    </row>
    <row r="126" customFormat="false" ht="15.75" hidden="false" customHeight="false" outlineLevel="0" collapsed="false">
      <c r="A126" s="31" t="n">
        <v>42887.6145665972</v>
      </c>
      <c r="B126" s="4" t="s">
        <v>556</v>
      </c>
      <c r="C126" s="4" t="s">
        <v>557</v>
      </c>
      <c r="D126" s="4" t="n">
        <v>8</v>
      </c>
      <c r="E126" s="4" t="s">
        <v>345</v>
      </c>
      <c r="G126" s="22" t="s">
        <v>558</v>
      </c>
      <c r="H126" s="4" t="s">
        <v>559</v>
      </c>
      <c r="I126" s="4" t="n">
        <v>9</v>
      </c>
      <c r="J126" s="4" t="n">
        <v>1</v>
      </c>
    </row>
    <row r="127" customFormat="false" ht="15.75" hidden="false" customHeight="false" outlineLevel="0" collapsed="false">
      <c r="A127" s="31" t="n">
        <v>42888.7055555556</v>
      </c>
      <c r="B127" s="4" t="s">
        <v>560</v>
      </c>
      <c r="C127" s="4" t="s">
        <v>142</v>
      </c>
      <c r="D127" s="4" t="n">
        <v>8</v>
      </c>
      <c r="E127" s="4" t="s">
        <v>561</v>
      </c>
      <c r="F127" s="4" t="s">
        <v>562</v>
      </c>
      <c r="G127" s="22" t="s">
        <v>563</v>
      </c>
      <c r="H127" s="4" t="s">
        <v>564</v>
      </c>
      <c r="I127" s="4" t="n">
        <v>1</v>
      </c>
      <c r="J127" s="4" t="n">
        <v>2</v>
      </c>
    </row>
    <row r="128" customFormat="false" ht="15.75" hidden="false" customHeight="false" outlineLevel="0" collapsed="false">
      <c r="A128" s="31" t="n">
        <v>42893.875</v>
      </c>
      <c r="B128" s="4" t="s">
        <v>565</v>
      </c>
      <c r="C128" s="4" t="s">
        <v>359</v>
      </c>
      <c r="D128" s="4" t="n">
        <v>9</v>
      </c>
      <c r="E128" s="27" t="s">
        <v>566</v>
      </c>
      <c r="G128" s="22" t="s">
        <v>567</v>
      </c>
      <c r="H128" s="4" t="s">
        <v>568</v>
      </c>
      <c r="I128" s="4" t="n">
        <v>9</v>
      </c>
      <c r="J128" s="4" t="n">
        <v>7</v>
      </c>
    </row>
    <row r="129" customFormat="false" ht="15.75" hidden="false" customHeight="false" outlineLevel="0" collapsed="false">
      <c r="A129" s="31" t="n">
        <v>42896.4847222222</v>
      </c>
      <c r="B129" s="4" t="s">
        <v>569</v>
      </c>
      <c r="C129" s="4" t="s">
        <v>570</v>
      </c>
      <c r="D129" s="4" t="n">
        <v>7</v>
      </c>
      <c r="E129" s="27" t="s">
        <v>39</v>
      </c>
      <c r="G129" s="22" t="s">
        <v>571</v>
      </c>
      <c r="H129" s="4" t="s">
        <v>572</v>
      </c>
      <c r="I129" s="4" t="n">
        <v>10</v>
      </c>
      <c r="J129" s="4" t="n">
        <v>1</v>
      </c>
    </row>
    <row r="130" customFormat="false" ht="15.75" hidden="false" customHeight="false" outlineLevel="0" collapsed="false">
      <c r="A130" s="31" t="n">
        <v>42905.0194444444</v>
      </c>
      <c r="B130" s="4" t="s">
        <v>573</v>
      </c>
      <c r="C130" s="4" t="s">
        <v>574</v>
      </c>
      <c r="D130" s="4" t="n">
        <v>8</v>
      </c>
      <c r="E130" s="4" t="n">
        <v>117</v>
      </c>
      <c r="G130" s="43" t="s">
        <v>575</v>
      </c>
      <c r="H130" s="44" t="s">
        <v>576</v>
      </c>
      <c r="I130" s="4" t="n">
        <v>5</v>
      </c>
      <c r="J130" s="4" t="n">
        <v>1</v>
      </c>
    </row>
    <row r="131" customFormat="false" ht="15.75" hidden="false" customHeight="false" outlineLevel="0" collapsed="false">
      <c r="A131" s="45" t="n">
        <v>42922.4166666667</v>
      </c>
      <c r="B131" s="4" t="s">
        <v>577</v>
      </c>
      <c r="C131" s="4" t="s">
        <v>338</v>
      </c>
      <c r="D131" s="4" t="n">
        <v>11</v>
      </c>
      <c r="E131" s="27" t="s">
        <v>40</v>
      </c>
      <c r="I131" s="4" t="n">
        <v>1</v>
      </c>
      <c r="J131" s="4" t="n">
        <v>3</v>
      </c>
    </row>
    <row r="132" customFormat="false" ht="15.75" hidden="false" customHeight="false" outlineLevel="0" collapsed="false">
      <c r="A132" s="46" t="n">
        <v>42927.5416666667</v>
      </c>
      <c r="B132" s="4" t="s">
        <v>578</v>
      </c>
      <c r="C132" s="4" t="s">
        <v>280</v>
      </c>
      <c r="D132" s="4" t="n">
        <v>7</v>
      </c>
      <c r="E132" s="27" t="s">
        <v>579</v>
      </c>
      <c r="I132" s="4" t="n">
        <v>0</v>
      </c>
      <c r="J132" s="4" t="n">
        <v>8</v>
      </c>
    </row>
    <row r="133" customFormat="false" ht="15.75" hidden="false" customHeight="false" outlineLevel="0" collapsed="false">
      <c r="A133" s="46" t="n">
        <v>42927.5416666667</v>
      </c>
      <c r="B133" s="4" t="s">
        <v>580</v>
      </c>
      <c r="C133" s="4" t="s">
        <v>581</v>
      </c>
      <c r="D133" s="4" t="n">
        <v>7</v>
      </c>
      <c r="E133" s="27" t="s">
        <v>39</v>
      </c>
      <c r="I133" s="4" t="n">
        <v>4</v>
      </c>
      <c r="J133" s="4" t="n">
        <v>8</v>
      </c>
    </row>
    <row r="134" customFormat="false" ht="15.75" hidden="false" customHeight="false" outlineLevel="0" collapsed="false">
      <c r="E134" s="7"/>
    </row>
    <row r="135" customFormat="false" ht="15.75" hidden="false" customHeight="false" outlineLevel="0" collapsed="false">
      <c r="E135" s="7"/>
    </row>
    <row r="136" customFormat="false" ht="15.75" hidden="false" customHeight="false" outlineLevel="0" collapsed="false">
      <c r="E136" s="7"/>
    </row>
    <row r="137" customFormat="false" ht="15.75" hidden="false" customHeight="false" outlineLevel="0" collapsed="false">
      <c r="E137" s="7"/>
    </row>
    <row r="138" customFormat="false" ht="15.75" hidden="false" customHeight="false" outlineLevel="0" collapsed="false">
      <c r="E138" s="7"/>
    </row>
    <row r="139" customFormat="false" ht="15.75" hidden="false" customHeight="false" outlineLevel="0" collapsed="false">
      <c r="E139" s="7"/>
    </row>
    <row r="140" customFormat="false" ht="15.75" hidden="false" customHeight="false" outlineLevel="0" collapsed="false">
      <c r="E140" s="7"/>
    </row>
    <row r="141" customFormat="false" ht="15.75" hidden="false" customHeight="false" outlineLevel="0" collapsed="false">
      <c r="E141" s="7"/>
    </row>
    <row r="142" customFormat="false" ht="15.75" hidden="false" customHeight="false" outlineLevel="0" collapsed="false">
      <c r="E142" s="7"/>
    </row>
    <row r="143" customFormat="false" ht="15.75" hidden="false" customHeight="false" outlineLevel="0" collapsed="false">
      <c r="E143" s="7"/>
    </row>
    <row r="144" customFormat="false" ht="15.75" hidden="false" customHeight="false" outlineLevel="0" collapsed="false">
      <c r="E144" s="7"/>
    </row>
    <row r="145" customFormat="false" ht="15.75" hidden="false" customHeight="false" outlineLevel="0" collapsed="false">
      <c r="E145" s="7"/>
    </row>
    <row r="146" customFormat="false" ht="15.75" hidden="false" customHeight="false" outlineLevel="0" collapsed="false">
      <c r="E146" s="7"/>
    </row>
    <row r="147" customFormat="false" ht="15.75" hidden="false" customHeight="false" outlineLevel="0" collapsed="false">
      <c r="E147" s="7"/>
    </row>
    <row r="148" customFormat="false" ht="15.75" hidden="false" customHeight="false" outlineLevel="0" collapsed="false">
      <c r="E148" s="7"/>
    </row>
    <row r="149" customFormat="false" ht="15.75" hidden="false" customHeight="false" outlineLevel="0" collapsed="false">
      <c r="E149" s="7"/>
    </row>
    <row r="150" customFormat="false" ht="15.75" hidden="false" customHeight="false" outlineLevel="0" collapsed="false">
      <c r="E150" s="7"/>
    </row>
    <row r="151" customFormat="false" ht="15.75" hidden="false" customHeight="false" outlineLevel="0" collapsed="false">
      <c r="E151" s="7"/>
    </row>
    <row r="152" customFormat="false" ht="15.75" hidden="false" customHeight="false" outlineLevel="0" collapsed="false">
      <c r="E152" s="7"/>
    </row>
    <row r="153" customFormat="false" ht="15.75" hidden="false" customHeight="false" outlineLevel="0" collapsed="false">
      <c r="E153" s="7"/>
    </row>
    <row r="154" customFormat="false" ht="15.75" hidden="false" customHeight="false" outlineLevel="0" collapsed="false">
      <c r="E154" s="7"/>
    </row>
    <row r="155" customFormat="false" ht="15.75" hidden="false" customHeight="false" outlineLevel="0" collapsed="false">
      <c r="E155" s="7"/>
    </row>
    <row r="156" customFormat="false" ht="15.75" hidden="false" customHeight="false" outlineLevel="0" collapsed="false">
      <c r="E156" s="7"/>
    </row>
    <row r="157" customFormat="false" ht="15.75" hidden="false" customHeight="false" outlineLevel="0" collapsed="false">
      <c r="B157" s="4" t="s">
        <v>582</v>
      </c>
      <c r="E157" s="7"/>
    </row>
    <row r="158" customFormat="false" ht="15.75" hidden="false" customHeight="false" outlineLevel="0" collapsed="false">
      <c r="E158" s="7"/>
    </row>
    <row r="159" customFormat="false" ht="15.75" hidden="false" customHeight="false" outlineLevel="0" collapsed="false">
      <c r="E159" s="7"/>
    </row>
    <row r="160" customFormat="false" ht="15.75" hidden="false" customHeight="false" outlineLevel="0" collapsed="false">
      <c r="E160" s="7"/>
    </row>
    <row r="161" customFormat="false" ht="15.75" hidden="false" customHeight="false" outlineLevel="0" collapsed="false">
      <c r="E161" s="7"/>
    </row>
    <row r="162" customFormat="false" ht="15.75" hidden="false" customHeight="false" outlineLevel="0" collapsed="false">
      <c r="E162" s="7"/>
    </row>
    <row r="163" customFormat="false" ht="15.75" hidden="false" customHeight="false" outlineLevel="0" collapsed="false">
      <c r="E163" s="7"/>
    </row>
    <row r="164" customFormat="false" ht="15.75" hidden="false" customHeight="false" outlineLevel="0" collapsed="false">
      <c r="E164" s="7"/>
    </row>
    <row r="165" customFormat="false" ht="15.75" hidden="false" customHeight="false" outlineLevel="0" collapsed="false">
      <c r="E165" s="7"/>
    </row>
    <row r="166" customFormat="false" ht="15.75" hidden="false" customHeight="false" outlineLevel="0" collapsed="false">
      <c r="E166" s="7"/>
    </row>
    <row r="167" customFormat="false" ht="15.75" hidden="false" customHeight="false" outlineLevel="0" collapsed="false">
      <c r="E167" s="7"/>
    </row>
    <row r="168" customFormat="false" ht="15.75" hidden="false" customHeight="false" outlineLevel="0" collapsed="false">
      <c r="E168" s="7"/>
    </row>
    <row r="169" customFormat="false" ht="15.75" hidden="false" customHeight="false" outlineLevel="0" collapsed="false">
      <c r="E169" s="7"/>
    </row>
    <row r="170" customFormat="false" ht="15.75" hidden="false" customHeight="false" outlineLevel="0" collapsed="false">
      <c r="E170" s="7"/>
    </row>
    <row r="171" customFormat="false" ht="15.75" hidden="false" customHeight="false" outlineLevel="0" collapsed="false">
      <c r="E171" s="7"/>
    </row>
    <row r="172" customFormat="false" ht="15.75" hidden="false" customHeight="false" outlineLevel="0" collapsed="false">
      <c r="E172" s="7"/>
    </row>
    <row r="173" customFormat="false" ht="15.75" hidden="false" customHeight="false" outlineLevel="0" collapsed="false">
      <c r="E173" s="7"/>
    </row>
    <row r="174" customFormat="false" ht="15.75" hidden="false" customHeight="false" outlineLevel="0" collapsed="false">
      <c r="E174" s="7"/>
    </row>
    <row r="175" customFormat="false" ht="15.75" hidden="false" customHeight="false" outlineLevel="0" collapsed="false">
      <c r="E175" s="7"/>
    </row>
    <row r="176" customFormat="false" ht="15.75" hidden="false" customHeight="false" outlineLevel="0" collapsed="false">
      <c r="E176" s="7"/>
    </row>
    <row r="177" customFormat="false" ht="15.75" hidden="false" customHeight="false" outlineLevel="0" collapsed="false">
      <c r="E177" s="7"/>
    </row>
    <row r="178" customFormat="false" ht="15.75" hidden="false" customHeight="false" outlineLevel="0" collapsed="false">
      <c r="E178" s="7"/>
    </row>
    <row r="179" customFormat="false" ht="15.75" hidden="false" customHeight="false" outlineLevel="0" collapsed="false">
      <c r="E179" s="7"/>
    </row>
    <row r="180" customFormat="false" ht="15.75" hidden="false" customHeight="false" outlineLevel="0" collapsed="false">
      <c r="E180" s="7"/>
    </row>
    <row r="181" customFormat="false" ht="15.75" hidden="false" customHeight="false" outlineLevel="0" collapsed="false">
      <c r="E181" s="7"/>
    </row>
    <row r="182" customFormat="false" ht="15.75" hidden="false" customHeight="false" outlineLevel="0" collapsed="false">
      <c r="E182" s="7"/>
    </row>
    <row r="183" customFormat="false" ht="15.75" hidden="false" customHeight="false" outlineLevel="0" collapsed="false">
      <c r="E183" s="7"/>
    </row>
    <row r="184" customFormat="false" ht="15.75" hidden="false" customHeight="false" outlineLevel="0" collapsed="false">
      <c r="E184" s="7"/>
    </row>
    <row r="185" customFormat="false" ht="15.75" hidden="false" customHeight="false" outlineLevel="0" collapsed="false">
      <c r="E185" s="7"/>
    </row>
    <row r="186" customFormat="false" ht="15.75" hidden="false" customHeight="false" outlineLevel="0" collapsed="false">
      <c r="E186" s="7"/>
    </row>
    <row r="187" customFormat="false" ht="15.75" hidden="false" customHeight="false" outlineLevel="0" collapsed="false">
      <c r="E187" s="7"/>
    </row>
    <row r="188" customFormat="false" ht="15.75" hidden="false" customHeight="false" outlineLevel="0" collapsed="false">
      <c r="E188" s="7"/>
    </row>
    <row r="189" customFormat="false" ht="15.75" hidden="false" customHeight="false" outlineLevel="0" collapsed="false">
      <c r="E189" s="7"/>
    </row>
    <row r="190" customFormat="false" ht="15.75" hidden="false" customHeight="false" outlineLevel="0" collapsed="false">
      <c r="E190" s="7"/>
    </row>
    <row r="191" customFormat="false" ht="15.75" hidden="false" customHeight="false" outlineLevel="0" collapsed="false">
      <c r="E191" s="7"/>
    </row>
    <row r="192" customFormat="false" ht="15.75" hidden="false" customHeight="false" outlineLevel="0" collapsed="false">
      <c r="E192" s="7"/>
    </row>
    <row r="193" customFormat="false" ht="15.75" hidden="false" customHeight="false" outlineLevel="0" collapsed="false">
      <c r="E193" s="7"/>
    </row>
    <row r="194" customFormat="false" ht="15.75" hidden="false" customHeight="false" outlineLevel="0" collapsed="false">
      <c r="E194" s="7"/>
    </row>
    <row r="195" customFormat="false" ht="15.75" hidden="false" customHeight="false" outlineLevel="0" collapsed="false">
      <c r="E195" s="7"/>
    </row>
    <row r="196" customFormat="false" ht="15.75" hidden="false" customHeight="false" outlineLevel="0" collapsed="false">
      <c r="E196" s="7"/>
    </row>
    <row r="197" customFormat="false" ht="15.75" hidden="false" customHeight="false" outlineLevel="0" collapsed="false">
      <c r="E197" s="7"/>
    </row>
    <row r="198" customFormat="false" ht="15.75" hidden="false" customHeight="false" outlineLevel="0" collapsed="false">
      <c r="E198" s="7"/>
    </row>
    <row r="199" customFormat="false" ht="15.75" hidden="false" customHeight="false" outlineLevel="0" collapsed="false">
      <c r="E199" s="7"/>
    </row>
    <row r="200" customFormat="false" ht="15.75" hidden="false" customHeight="false" outlineLevel="0" collapsed="false">
      <c r="E200" s="7"/>
    </row>
    <row r="201" customFormat="false" ht="15.75" hidden="false" customHeight="false" outlineLevel="0" collapsed="false">
      <c r="E201" s="7"/>
    </row>
    <row r="202" customFormat="false" ht="15.75" hidden="false" customHeight="false" outlineLevel="0" collapsed="false">
      <c r="E202" s="7"/>
    </row>
    <row r="203" customFormat="false" ht="15.75" hidden="false" customHeight="false" outlineLevel="0" collapsed="false">
      <c r="E203" s="7"/>
    </row>
    <row r="204" customFormat="false" ht="15.75" hidden="false" customHeight="false" outlineLevel="0" collapsed="false">
      <c r="E204" s="7"/>
    </row>
    <row r="205" customFormat="false" ht="15.75" hidden="false" customHeight="false" outlineLevel="0" collapsed="false">
      <c r="E205" s="7"/>
    </row>
    <row r="206" customFormat="false" ht="15.75" hidden="false" customHeight="false" outlineLevel="0" collapsed="false">
      <c r="E206" s="7"/>
    </row>
    <row r="207" customFormat="false" ht="15.75" hidden="false" customHeight="false" outlineLevel="0" collapsed="false">
      <c r="E207" s="7"/>
    </row>
    <row r="208" customFormat="false" ht="15.75" hidden="false" customHeight="false" outlineLevel="0" collapsed="false">
      <c r="E208" s="7"/>
    </row>
    <row r="209" customFormat="false" ht="15.75" hidden="false" customHeight="false" outlineLevel="0" collapsed="false">
      <c r="E209" s="7"/>
    </row>
    <row r="210" customFormat="false" ht="15.75" hidden="false" customHeight="false" outlineLevel="0" collapsed="false">
      <c r="E210" s="7"/>
    </row>
    <row r="211" customFormat="false" ht="15.75" hidden="false" customHeight="false" outlineLevel="0" collapsed="false">
      <c r="E211" s="7"/>
    </row>
    <row r="212" customFormat="false" ht="15.75" hidden="false" customHeight="false" outlineLevel="0" collapsed="false">
      <c r="E212" s="7"/>
    </row>
    <row r="213" customFormat="false" ht="15.75" hidden="false" customHeight="false" outlineLevel="0" collapsed="false">
      <c r="E213" s="7"/>
    </row>
    <row r="214" customFormat="false" ht="15.75" hidden="false" customHeight="false" outlineLevel="0" collapsed="false">
      <c r="E214" s="7"/>
    </row>
    <row r="215" customFormat="false" ht="15.75" hidden="false" customHeight="false" outlineLevel="0" collapsed="false">
      <c r="E215" s="7"/>
    </row>
    <row r="216" customFormat="false" ht="15.75" hidden="false" customHeight="false" outlineLevel="0" collapsed="false">
      <c r="E216" s="7"/>
    </row>
    <row r="217" customFormat="false" ht="15.75" hidden="false" customHeight="false" outlineLevel="0" collapsed="false">
      <c r="E217" s="7"/>
    </row>
    <row r="218" customFormat="false" ht="15.75" hidden="false" customHeight="false" outlineLevel="0" collapsed="false">
      <c r="E218" s="7"/>
    </row>
    <row r="219" customFormat="false" ht="15.75" hidden="false" customHeight="false" outlineLevel="0" collapsed="false">
      <c r="E219" s="7"/>
    </row>
    <row r="220" customFormat="false" ht="15.75" hidden="false" customHeight="false" outlineLevel="0" collapsed="false">
      <c r="E220" s="7"/>
    </row>
    <row r="221" customFormat="false" ht="15.75" hidden="false" customHeight="false" outlineLevel="0" collapsed="false">
      <c r="E221" s="7"/>
    </row>
    <row r="222" customFormat="false" ht="15.75" hidden="false" customHeight="false" outlineLevel="0" collapsed="false">
      <c r="E222" s="7"/>
    </row>
    <row r="223" customFormat="false" ht="15.75" hidden="false" customHeight="false" outlineLevel="0" collapsed="false">
      <c r="E223" s="7"/>
    </row>
    <row r="224" customFormat="false" ht="15.75" hidden="false" customHeight="false" outlineLevel="0" collapsed="false">
      <c r="E224" s="7"/>
    </row>
    <row r="225" customFormat="false" ht="15.75" hidden="false" customHeight="false" outlineLevel="0" collapsed="false">
      <c r="E225" s="7"/>
    </row>
    <row r="226" customFormat="false" ht="15.75" hidden="false" customHeight="false" outlineLevel="0" collapsed="false">
      <c r="E226" s="7"/>
    </row>
    <row r="1048576" customFormat="false" ht="12.8" hidden="false" customHeight="false" outlineLevel="0" collapsed="false"/>
  </sheetData>
  <hyperlinks>
    <hyperlink ref="G2" r:id="rId1" display="vk.com/agent024"/>
    <hyperlink ref="G3" r:id="rId2" display="https://vk.com/id55040621"/>
    <hyperlink ref="G4" r:id="rId3" display="https://m.vk.com/alisatemereva"/>
    <hyperlink ref="G5" r:id="rId4" display="https://m.vk.com/alisatemereva"/>
    <hyperlink ref="G6" r:id="rId5" display="vk.com/id206813526"/>
    <hyperlink ref="G7" r:id="rId6" display="https://vk.com/jess41359473"/>
    <hyperlink ref="G8" r:id="rId7" display="vk.com/id293021806"/>
    <hyperlink ref="G9" r:id="rId8" display="vk.com/id326623716"/>
    <hyperlink ref="G10" r:id="rId9" display="vk.com/id402259781"/>
    <hyperlink ref="G11" r:id="rId10" display="vk.com/tillid"/>
    <hyperlink ref="G12" r:id="rId11" display="https://vk.com/juliya___z"/>
    <hyperlink ref="G13" r:id="rId12" display="vk.com/id166902078"/>
    <hyperlink ref="G14" r:id="rId13" display="https://vk.com/loiwwer"/>
    <hyperlink ref="G15" r:id="rId14" display="vk.com/idiamolya"/>
    <hyperlink ref="G17" r:id="rId15" display="https://vk.com/id354871101"/>
    <hyperlink ref="G18" r:id="rId16" display="https://vk.com/id305699141"/>
    <hyperlink ref="G19" r:id="rId17" display="https://vk.com/id400485657"/>
    <hyperlink ref="G20" r:id="rId18" display="vk.com/id157850061"/>
    <hyperlink ref="G21" r:id="rId19" display="https://vk.com/liza06082000"/>
    <hyperlink ref="G23" r:id="rId20" display="https://vk.com/lozhnikov_victor"/>
    <hyperlink ref="G25" r:id="rId21" display="vk.com/sermon.kokosov"/>
    <hyperlink ref="G26" r:id="rId22" display="https://vk.com/id81616591"/>
    <hyperlink ref="G27" r:id="rId23" display="https://vk.com/tsyndukov"/>
    <hyperlink ref="G28" r:id="rId24" display="https://m.vk.com/id99314292"/>
    <hyperlink ref="G29" r:id="rId25" display="https://vk.com/damaskyoutube"/>
    <hyperlink ref="G30" r:id="rId26" display="https://m.vk.com/id198934365"/>
    <hyperlink ref="G31" r:id="rId27" display="https://vk.com/anitastashevskaya"/>
    <hyperlink ref="G32" r:id="rId28" display="vk.com/id281300280"/>
    <hyperlink ref="G34" r:id="rId29" display="https://vk.com/zuzukidze"/>
    <hyperlink ref="G35" r:id="rId30" display="https://vk.com/zhenek1979"/>
    <hyperlink ref="G36" r:id="rId31" display="https://vk.com/alenushkaa_a"/>
    <hyperlink ref="G37" r:id="rId32" display="https://vk.com/yulyabalakina"/>
    <hyperlink ref="G38" r:id="rId33" display="vk.com/dref55"/>
    <hyperlink ref="G39" r:id="rId34" display="vk.com/shefat"/>
    <hyperlink ref="G40" r:id="rId35" display="http://vk.com/id183332969"/>
    <hyperlink ref="G41" r:id="rId36" display="https://vk.com/pkeltsev"/>
    <hyperlink ref="G42" r:id="rId37" display="vk.com/id209670944"/>
    <hyperlink ref="G43" r:id="rId38" display="https://vk.com/id288643683"/>
    <hyperlink ref="G44" r:id="rId39" display="https://vk.com/umnayshe4ka"/>
    <hyperlink ref="G45" r:id="rId40" display="vk.com/ivan_vachev"/>
    <hyperlink ref="G46" r:id="rId41" display="https://vk.com/zolotadmitriy"/>
    <hyperlink ref="G47" r:id="rId42" display="vk.com/sevastyanp"/>
    <hyperlink ref="G48" r:id="rId43" display="vk.com/luckea"/>
    <hyperlink ref="G49" r:id="rId44" display="vk.com/yan_vyazem"/>
    <hyperlink ref="G51" r:id="rId45" display="https://vk.com/id189704537"/>
    <hyperlink ref="G52" r:id="rId46" display="vk.com/unfraid"/>
    <hyperlink ref="G53" r:id="rId47" display="https://m.vk.com/georgela"/>
    <hyperlink ref="G54" r:id="rId48" display="https://vk.com/id157847345"/>
    <hyperlink ref="G55" r:id="rId49" display="vk.com/danil.ryabtsev"/>
    <hyperlink ref="G56" r:id="rId50" display="https://m.vk.com/id136665279"/>
    <hyperlink ref="G57" r:id="rId51" display="https://vk.com/werrewqr"/>
    <hyperlink ref="G58" r:id="rId52" display="https://vk.com/idannromm"/>
    <hyperlink ref="G59" r:id="rId53" display="https://vk.com/mr_ukropchik"/>
    <hyperlink ref="G61" r:id="rId54" display="vk.com/obeloz"/>
    <hyperlink ref="G62" r:id="rId55" display="https://vk.com/evverything_is_allowed"/>
    <hyperlink ref="G63" r:id="rId56" display="https://vk.com/fogo_f"/>
    <hyperlink ref="G64" r:id="rId57" display="https://vk.com/id377773056"/>
    <hyperlink ref="G65" r:id="rId58" display="https://vk.com/id377773056"/>
    <hyperlink ref="G66" r:id="rId59" display="vk.com/id316784802"/>
    <hyperlink ref="G67" r:id="rId60" display="vk.com/ekweis"/>
    <hyperlink ref="G69" r:id="rId61" display="https://vk.com/m.arkushenko"/>
    <hyperlink ref="G70" r:id="rId62" display="vk.com/boulygin"/>
    <hyperlink ref="G71" r:id="rId63" display="vk.com/agarbus2003"/>
    <hyperlink ref="G72" r:id="rId64" display="vk.com/akushnareva2000"/>
    <hyperlink ref="G73" r:id="rId65" display="https://vk.com/svandrith"/>
    <hyperlink ref="G74" r:id="rId66" display="https://m.vk.com/id262530619"/>
    <hyperlink ref="G75" r:id="rId67" display="https://vk.com/id269312243"/>
    <hyperlink ref="G76" r:id="rId68" display="vk.com/id150796947"/>
    <hyperlink ref="G77" r:id="rId69" display="vk.com/tanya080900"/>
    <hyperlink ref="G78" r:id="rId70" display="https://vk.com/id163053104"/>
    <hyperlink ref="G79" r:id="rId71" display="vk.com/y.kulichenko"/>
    <hyperlink ref="G80" r:id="rId72" display="vk.com/bellakey"/>
    <hyperlink ref="G81" r:id="rId73" display="http://vk.com/id336544709"/>
    <hyperlink ref="G82" r:id="rId74" display="vk.com/id149548495"/>
    <hyperlink ref="G83" r:id="rId75" display="https://vk.com/id249818753"/>
    <hyperlink ref="G84" r:id="rId76" display="https://vk.com/masya_st"/>
    <hyperlink ref="G85" r:id="rId77" display="vk.com/sergey80401"/>
    <hyperlink ref="G86" r:id="rId78" display="https://m.vk.com/lololen.gobz"/>
    <hyperlink ref="G87" r:id="rId79" display="vk.com/id383760243"/>
    <hyperlink ref="G88" r:id="rId80" display="https://vk.com/id162562572"/>
    <hyperlink ref="G89" r:id="rId81" display="vk.com/anna_dolgova2004"/>
    <hyperlink ref="G91" r:id="rId82" display="https://vk.com/id411925471"/>
    <hyperlink ref="G92" r:id="rId83" display="https://m.vk.com/id313977338"/>
    <hyperlink ref="G93" r:id="rId84" display="https://vk.com/id153731120"/>
    <hyperlink ref="G94" r:id="rId85" display="https://vk.com/velkonost"/>
    <hyperlink ref="G95" r:id="rId86" display="https://m.vk.com/demenkovalexey"/>
    <hyperlink ref="G96" r:id="rId87" display="https://vk.com/d.rudskikh"/>
    <hyperlink ref="G97" r:id="rId88" display="https://vk.com/id179533793"/>
    <hyperlink ref="G98" r:id="rId89" display="https://vk.com/grichkoedova"/>
    <hyperlink ref="G99" r:id="rId90" display="https://vk.com/juliarrrrrx"/>
    <hyperlink ref="G101" r:id="rId91" display="https://vk.com/id336544709"/>
    <hyperlink ref="G102" r:id="rId92" display="https://vk.com/science_tk"/>
    <hyperlink ref="G103" r:id="rId93" display="https://vk.com/id248288690"/>
    <hyperlink ref="G104" r:id="rId94" display="https://vk.com/id352280379"/>
    <hyperlink ref="G105" r:id="rId95" display="https://vk.com/vlicharovski"/>
    <hyperlink ref="G106" r:id="rId96" display="vk.com/andrezolnikov"/>
    <hyperlink ref="G107" r:id="rId97" display="https://vk.com/uhhkjg78ygh"/>
    <hyperlink ref="G108" r:id="rId98" display="https://vk.com/vrnkvknn"/>
    <hyperlink ref="G109" r:id="rId99" display="https://vk.com/ddp102f"/>
    <hyperlink ref="G110" r:id="rId100" display="https://vk.com/mara.rina"/>
    <hyperlink ref="G111" r:id="rId101" display="vk.com/id382406601"/>
    <hyperlink ref="G112" r:id="rId102" display="https://vk.com/id403901742"/>
    <hyperlink ref="G113" r:id="rId103" display="vk.com/id276675815"/>
    <hyperlink ref="G114" r:id="rId104" display="Vk.com/darya.pirogova"/>
    <hyperlink ref="G115" r:id="rId105" display="vk.com/id382406601"/>
    <hyperlink ref="G116" r:id="rId106" display="vk.com/id186803102"/>
    <hyperlink ref="G117" r:id="rId107" display="https://vk.com/aderkach2017"/>
    <hyperlink ref="G118" r:id="rId108" display="vk.com/id172201719"/>
    <hyperlink ref="G119" r:id="rId109" display="https://vk.com/id303071470"/>
    <hyperlink ref="G120" r:id="rId110" display="https://vk.com/sadmaris"/>
    <hyperlink ref="G121" r:id="rId111" display="vk.com/id340132670"/>
    <hyperlink ref="G122" r:id="rId112" display="https://vk.com/id189813664"/>
    <hyperlink ref="G125" r:id="rId113" display="https://vk.com/id411925471"/>
    <hyperlink ref="G126" r:id="rId114" display="vk.com/neko_murr"/>
    <hyperlink ref="G127" r:id="rId115" display="https://vk.com/anna.kurbatova99"/>
    <hyperlink ref="G128" r:id="rId116" display="https://vk.com/id312748553"/>
    <hyperlink ref="G129" r:id="rId117" display="https://vk.com/lzheldak"/>
    <hyperlink ref="G130" r:id="rId118" display="https://vk.com/username190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5" min="5" style="0" width="4.43"/>
    <col collapsed="false" customWidth="true" hidden="false" outlineLevel="0" max="6" min="6" style="0" width="5.01"/>
    <col collapsed="false" customWidth="true" hidden="false" outlineLevel="0" max="7" min="7" style="0" width="5.86"/>
    <col collapsed="false" customWidth="true" hidden="false" outlineLevel="0" max="8" min="8" style="0" width="4.57"/>
  </cols>
  <sheetData>
    <row r="1" customFormat="false" ht="15.75" hidden="false" customHeight="false" outlineLevel="0" collapsed="false">
      <c r="A1" s="9" t="s">
        <v>0</v>
      </c>
      <c r="E1" s="2" t="s">
        <v>583</v>
      </c>
      <c r="N1" s="2" t="s">
        <v>584</v>
      </c>
    </row>
    <row r="2" customFormat="false" ht="15.75" hidden="false" customHeight="false" outlineLevel="0" collapsed="false">
      <c r="A2" s="10" t="s">
        <v>24</v>
      </c>
    </row>
    <row r="3" customFormat="false" ht="15.75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15</v>
      </c>
      <c r="I3" s="0" t="s">
        <v>10</v>
      </c>
      <c r="J3" s="4" t="s">
        <v>11</v>
      </c>
      <c r="K3" s="4" t="s">
        <v>12</v>
      </c>
      <c r="L3" s="4" t="s">
        <v>13</v>
      </c>
      <c r="N3" s="2" t="s">
        <v>585</v>
      </c>
      <c r="O3" s="2" t="s">
        <v>586</v>
      </c>
    </row>
    <row r="4" customFormat="false" ht="15.75" hidden="false" customHeight="false" outlineLevel="0" collapsed="false">
      <c r="A4" s="5"/>
      <c r="B4" s="6" t="n">
        <f aca="false">IFERROR(__xludf.dummyfunction("FILTER('Переформатированный ответ'!$A$2:$K$184,ARRAYFORMULA(('Переформатированный ответ'!$K$2:$K$184 &gt;-1)+((COUNTIF($N$4:$O$13,'Переформатированный ответ'!$J$2:$J$184)=2) + ('Переформатированный ответ'!$J$2:$J$184="""")&gt;0)+((COUNTIF($N$4:$O$13,'Переформат"&amp;"ированный ответ'!$I$2:$I$184)=2) + ('Переформатированный ответ'!$I$2:$I$184="""")&gt;0) = 3))"),42857.6996471991)</f>
        <v>42857.69965</v>
      </c>
      <c r="C4" s="0" t="str">
        <f aca="false">IFERROR(__xludf.dummyfunction("""COMPUTED_VALUE"""),"Богданова")</f>
        <v>Богданова</v>
      </c>
      <c r="D4" s="0" t="str">
        <f aca="false">IFERROR(__xludf.dummyfunction("""COMPUTED_VALUE"""),"Анастасия")</f>
        <v>Анастасия</v>
      </c>
      <c r="E4" s="0" t="n">
        <f aca="false">IFERROR(__xludf.dummyfunction("""COMPUTED_VALUE"""),9)</f>
        <v>9</v>
      </c>
      <c r="F4" s="7" t="str">
        <f aca="false">IFERROR(__xludf.dummyfunction("""COMPUTED_VALUE"""),"БОУ ОО""МОЦРО 117""")</f>
        <v>БОУ ОО"МОЦРО 117"</v>
      </c>
      <c r="H4" s="8" t="str">
        <f aca="false">IFERROR(__xludf.dummyfunction("""COMPUTED_VALUE"""),"vk.com/id206813526")</f>
        <v>vk.com/id206813526</v>
      </c>
      <c r="I4" s="0" t="str">
        <f aca="false">IFERROR(__xludf.dummyfunction("""COMPUTED_VALUE"""),"Bogdanovaasya_2907@mail.ru")</f>
        <v>Bogdanovaasya_2907@mail.ru</v>
      </c>
      <c r="J4" s="0" t="str">
        <f aca="false">IFERROR(__xludf.dummyfunction("""COMPUTED_VALUE"""),"Биоинформатика")</f>
        <v>Биоинформатика</v>
      </c>
      <c r="K4" s="0" t="str">
        <f aca="false">IFERROR(__xludf.dummyfunction("""COMPUTED_VALUE"""),"Математика(Кудык)")</f>
        <v>Математика(Кудык)</v>
      </c>
      <c r="L4" s="0" t="n">
        <f aca="false">IFERROR(__xludf.dummyfunction("""COMPUTED_VALUE"""),2)</f>
        <v>2</v>
      </c>
      <c r="N4" s="4" t="s">
        <v>20</v>
      </c>
      <c r="O4" s="4" t="s">
        <v>20</v>
      </c>
    </row>
    <row r="5" customFormat="false" ht="15.75" hidden="false" customHeight="false" outlineLevel="0" collapsed="false">
      <c r="B5" s="6" t="n">
        <f aca="false">IFERROR(__xludf.dummyfunction("""COMPUTED_VALUE"""),42857.8408027546)</f>
        <v>42857.8408</v>
      </c>
      <c r="C5" s="0" t="str">
        <f aca="false">IFERROR(__xludf.dummyfunction("""COMPUTED_VALUE"""),"Сушкова")</f>
        <v>Сушкова</v>
      </c>
      <c r="D5" s="0" t="str">
        <f aca="false">IFERROR(__xludf.dummyfunction("""COMPUTED_VALUE"""),"Ирина")</f>
        <v>Ирина</v>
      </c>
      <c r="E5" s="0" t="n">
        <f aca="false">IFERROR(__xludf.dummyfunction("""COMPUTED_VALUE"""),9)</f>
        <v>9</v>
      </c>
      <c r="F5" s="7" t="str">
        <f aca="false">IFERROR(__xludf.dummyfunction("""COMPUTED_VALUE"""),"БОУ ОО ""МОЦРО 117""")</f>
        <v>БОУ ОО "МОЦРО 117"</v>
      </c>
      <c r="H5" s="8" t="str">
        <f aca="false">IFERROR(__xludf.dummyfunction("""COMPUTED_VALUE"""),"vk.com/id402259781")</f>
        <v>vk.com/id402259781</v>
      </c>
      <c r="I5" s="0" t="str">
        <f aca="false">IFERROR(__xludf.dummyfunction("""COMPUTED_VALUE"""),"suirma@mail.ru")</f>
        <v>suirma@mail.ru</v>
      </c>
      <c r="J5" s="0" t="str">
        <f aca="false">IFERROR(__xludf.dummyfunction("""COMPUTED_VALUE"""),"Биоинформатика")</f>
        <v>Биоинформатика</v>
      </c>
      <c r="K5" s="0" t="str">
        <f aca="false">IFERROR(__xludf.dummyfunction("""COMPUTED_VALUE"""),"Математика(Кудык)")</f>
        <v>Математика(Кудык)</v>
      </c>
      <c r="L5" s="0" t="n">
        <f aca="false">IFERROR(__xludf.dummyfunction("""COMPUTED_VALUE"""),2)</f>
        <v>2</v>
      </c>
      <c r="N5" s="4" t="s">
        <v>16</v>
      </c>
      <c r="O5" s="4" t="s">
        <v>16</v>
      </c>
    </row>
    <row r="6" customFormat="false" ht="15.75" hidden="false" customHeight="false" outlineLevel="0" collapsed="false">
      <c r="B6" s="6" t="n">
        <f aca="false">IFERROR(__xludf.dummyfunction("""COMPUTED_VALUE"""),42858.2451090046)</f>
        <v>42858.24511</v>
      </c>
      <c r="C6" s="0" t="str">
        <f aca="false">IFERROR(__xludf.dummyfunction("""COMPUTED_VALUE"""),"Затолоцкая ")</f>
        <v>Затолоцкая</v>
      </c>
      <c r="D6" s="0" t="str">
        <f aca="false">IFERROR(__xludf.dummyfunction("""COMPUTED_VALUE"""),"Юлия")</f>
        <v>Юлия</v>
      </c>
      <c r="E6" s="0" t="n">
        <f aca="false">IFERROR(__xludf.dummyfunction("""COMPUTED_VALUE"""),10)</f>
        <v>10</v>
      </c>
      <c r="F6" s="7" t="str">
        <f aca="false">IFERROR(__xludf.dummyfunction("""COMPUTED_VALUE"""),"СУНЦ НГУ")</f>
        <v>СУНЦ НГУ</v>
      </c>
      <c r="H6" s="8" t="str">
        <f aca="false">IFERROR(__xludf.dummyfunction("""COMPUTED_VALUE"""),"vk.com/juliya___z")</f>
        <v>vk.com/juliya___z</v>
      </c>
      <c r="I6" s="0" t="str">
        <f aca="false">IFERROR(__xludf.dummyfunction("""COMPUTED_VALUE"""),"Zatolockaya11@mail.ru ")</f>
        <v>Zatolockaya11@mail.ru</v>
      </c>
      <c r="J6" s="0" t="str">
        <f aca="false">IFERROR(__xludf.dummyfunction("""COMPUTED_VALUE"""),"Физика(Шумаков)")</f>
        <v>Физика(Шумаков)</v>
      </c>
      <c r="K6" s="0" t="str">
        <f aca="false">IFERROR(__xludf.dummyfunction("""COMPUTED_VALUE"""),"Программирование(Шульга)")</f>
        <v>Программирование(Шульга)</v>
      </c>
      <c r="L6" s="0" t="n">
        <f aca="false">IFERROR(__xludf.dummyfunction("""COMPUTED_VALUE"""),2)</f>
        <v>2</v>
      </c>
      <c r="N6" s="4"/>
      <c r="O6" s="4" t="s">
        <v>22</v>
      </c>
    </row>
    <row r="7" customFormat="false" ht="15.75" hidden="false" customHeight="false" outlineLevel="0" collapsed="false">
      <c r="B7" s="6" t="n">
        <f aca="false">IFERROR(__xludf.dummyfunction("""COMPUTED_VALUE"""),42858.5937296644)</f>
        <v>42858.59373</v>
      </c>
      <c r="C7" s="0" t="str">
        <f aca="false">IFERROR(__xludf.dummyfunction("""COMPUTED_VALUE"""),"Цалко")</f>
        <v>Цалко</v>
      </c>
      <c r="D7" s="0" t="str">
        <f aca="false">IFERROR(__xludf.dummyfunction("""COMPUTED_VALUE"""),"Анастасия")</f>
        <v>Анастасия</v>
      </c>
      <c r="E7" s="0" t="n">
        <f aca="false">IFERROR(__xludf.dummyfunction("""COMPUTED_VALUE"""),7)</f>
        <v>7</v>
      </c>
      <c r="F7" s="7" t="str">
        <f aca="false">IFERROR(__xludf.dummyfunction("""COMPUTED_VALUE"""),"61")</f>
        <v>61</v>
      </c>
      <c r="H7" s="8" t="str">
        <f aca="false">IFERROR(__xludf.dummyfunction("""COMPUTED_VALUE"""),"vk.com/id166902078")</f>
        <v>vk.com/id166902078</v>
      </c>
      <c r="I7" s="0" t="str">
        <f aca="false">IFERROR(__xludf.dummyfunction("""COMPUTED_VALUE"""),"lena.tsalko.71@mail.ru")</f>
        <v>lena.tsalko.71@mail.ru</v>
      </c>
      <c r="J7" s="0" t="str">
        <f aca="false">IFERROR(__xludf.dummyfunction("""COMPUTED_VALUE"""),"Математика(Кудык)")</f>
        <v>Математика(Кудык)</v>
      </c>
      <c r="K7" s="0" t="str">
        <f aca="false">IFERROR(__xludf.dummyfunction("""COMPUTED_VALUE"""),"Биоинформатика")</f>
        <v>Биоинформатика</v>
      </c>
      <c r="L7" s="0" t="n">
        <f aca="false">IFERROR(__xludf.dummyfunction("""COMPUTED_VALUE"""),2)</f>
        <v>2</v>
      </c>
      <c r="N7" s="4" t="s">
        <v>24</v>
      </c>
      <c r="O7" s="4" t="s">
        <v>24</v>
      </c>
    </row>
    <row r="8" customFormat="false" ht="15.75" hidden="false" customHeight="false" outlineLevel="0" collapsed="false">
      <c r="B8" s="6" t="n">
        <f aca="false">IFERROR(__xludf.dummyfunction("""COMPUTED_VALUE"""),42858.7692120255)</f>
        <v>42858.76921</v>
      </c>
      <c r="C8" s="0" t="str">
        <f aca="false">IFERROR(__xludf.dummyfunction("""COMPUTED_VALUE"""),"Гриценко")</f>
        <v>Гриценко</v>
      </c>
      <c r="D8" s="0" t="str">
        <f aca="false">IFERROR(__xludf.dummyfunction("""COMPUTED_VALUE"""),"Ольга")</f>
        <v>Ольга</v>
      </c>
      <c r="E8" s="0" t="n">
        <f aca="false">IFERROR(__xludf.dummyfunction("""COMPUTED_VALUE"""),10)</f>
        <v>10</v>
      </c>
      <c r="F8" s="7" t="str">
        <f aca="false">IFERROR(__xludf.dummyfunction("""COMPUTED_VALUE"""),"БОУ ОО ""МОЦРО №117""")</f>
        <v>БОУ ОО "МОЦРО №117"</v>
      </c>
      <c r="H8" s="8" t="str">
        <f aca="false">IFERROR(__xludf.dummyfunction("""COMPUTED_VALUE"""),"vk.com/idiamolya")</f>
        <v>vk.com/idiamolya</v>
      </c>
      <c r="I8" s="0" t="str">
        <f aca="false">IFERROR(__xludf.dummyfunction("""COMPUTED_VALUE"""),"olya_00@bk.ru")</f>
        <v>olya_00@bk.ru</v>
      </c>
      <c r="J8" s="0" t="str">
        <f aca="false">IFERROR(__xludf.dummyfunction("""COMPUTED_VALUE"""),"Физика(Шумаков)")</f>
        <v>Физика(Шумаков)</v>
      </c>
      <c r="K8" s="0" t="str">
        <f aca="false">IFERROR(__xludf.dummyfunction("""COMPUTED_VALUE"""),"Математика(Кудык)")</f>
        <v>Математика(Кудык)</v>
      </c>
      <c r="L8" s="0" t="n">
        <f aca="false">IFERROR(__xludf.dummyfunction("""COMPUTED_VALUE"""),2)</f>
        <v>2</v>
      </c>
      <c r="N8" s="4" t="s">
        <v>2</v>
      </c>
      <c r="O8" s="4"/>
    </row>
    <row r="9" customFormat="false" ht="15.75" hidden="false" customHeight="false" outlineLevel="0" collapsed="false">
      <c r="B9" s="6" t="n">
        <f aca="false">IFERROR(__xludf.dummyfunction("""COMPUTED_VALUE"""),42858.8069016782)</f>
        <v>42858.8069</v>
      </c>
      <c r="C9" s="0" t="str">
        <f aca="false">IFERROR(__xludf.dummyfunction("""COMPUTED_VALUE"""),"Чебакова")</f>
        <v>Чебакова</v>
      </c>
      <c r="D9" s="0" t="str">
        <f aca="false">IFERROR(__xludf.dummyfunction("""COMPUTED_VALUE"""),"Майя")</f>
        <v>Майя</v>
      </c>
      <c r="E9" s="0" t="n">
        <f aca="false">IFERROR(__xludf.dummyfunction("""COMPUTED_VALUE"""),7)</f>
        <v>7</v>
      </c>
      <c r="F9" s="7" t="str">
        <f aca="false">IFERROR(__xludf.dummyfunction("""COMPUTED_VALUE"""),"Лицей 64")</f>
        <v>Лицей 64</v>
      </c>
      <c r="H9" s="8" t="str">
        <f aca="false">IFERROR(__xludf.dummyfunction("""COMPUTED_VALUE"""),"vk.com/id305699141")</f>
        <v>vk.com/id305699141</v>
      </c>
      <c r="I9" s="0" t="str">
        <f aca="false">IFERROR(__xludf.dummyfunction("""COMPUTED_VALUE"""),"Sir.stannow@yandex.ru ")</f>
        <v>Sir.stannow@yandex.ru</v>
      </c>
      <c r="J9" s="0" t="str">
        <f aca="false">IFERROR(__xludf.dummyfunction("""COMPUTED_VALUE"""),"Математика(Кудык)")</f>
        <v>Математика(Кудык)</v>
      </c>
      <c r="K9" s="0" t="str">
        <f aca="false">IFERROR(__xludf.dummyfunction("""COMPUTED_VALUE"""),"Биоинформатика")</f>
        <v>Биоинформатика</v>
      </c>
      <c r="L9" s="0" t="n">
        <f aca="false">IFERROR(__xludf.dummyfunction("""COMPUTED_VALUE"""),2)</f>
        <v>2</v>
      </c>
      <c r="N9" s="4"/>
      <c r="O9" s="4" t="s">
        <v>25</v>
      </c>
    </row>
    <row r="10" customFormat="false" ht="15.75" hidden="false" customHeight="false" outlineLevel="0" collapsed="false">
      <c r="B10" s="6" t="n">
        <f aca="false">IFERROR(__xludf.dummyfunction("""COMPUTED_VALUE"""),42859.7036070139)</f>
        <v>42859.70361</v>
      </c>
      <c r="C10" s="0" t="str">
        <f aca="false">IFERROR(__xludf.dummyfunction("""COMPUTED_VALUE"""),"Ложников")</f>
        <v>Ложников</v>
      </c>
      <c r="D10" s="0" t="str">
        <f aca="false">IFERROR(__xludf.dummyfunction("""COMPUTED_VALUE"""),"Виктор")</f>
        <v>Виктор</v>
      </c>
      <c r="E10" s="0" t="n">
        <f aca="false">IFERROR(__xludf.dummyfunction("""COMPUTED_VALUE"""),10)</f>
        <v>10</v>
      </c>
      <c r="F10" s="7" t="str">
        <f aca="false">IFERROR(__xludf.dummyfunction("""COMPUTED_VALUE"""),"Гимназия 139")</f>
        <v>Гимназия 139</v>
      </c>
      <c r="G10" s="0" t="str">
        <f aca="false">IFERROR(__xludf.dummyfunction("""COMPUTED_VALUE"""),"смогу участвовать до 14 июля включительно")</f>
        <v>смогу участвовать до 14 июля включительно</v>
      </c>
      <c r="H10" s="8" t="str">
        <f aca="false">IFERROR(__xludf.dummyfunction("""COMPUTED_VALUE"""),"vk.com/lozhnikov_victor")</f>
        <v>vk.com/lozhnikov_victor</v>
      </c>
      <c r="I10" s="0" t="str">
        <f aca="false">IFERROR(__xludf.dummyfunction("""COMPUTED_VALUE"""),"v.lozhnikov2000@gmail.com")</f>
        <v>v.lozhnikov2000@gmail.com</v>
      </c>
      <c r="J10" s="0" t="str">
        <f aca="false">IFERROR(__xludf.dummyfunction("""COMPUTED_VALUE"""),"Биоинформатика")</f>
        <v>Биоинформатика</v>
      </c>
      <c r="K10" s="0" t="str">
        <f aca="false">IFERROR(__xludf.dummyfunction("""COMPUTED_VALUE"""),"Математика(Кудык)")</f>
        <v>Математика(Кудык)</v>
      </c>
      <c r="L10" s="0" t="n">
        <f aca="false">IFERROR(__xludf.dummyfunction("""COMPUTED_VALUE"""),2)</f>
        <v>2</v>
      </c>
      <c r="N10" s="4"/>
      <c r="O10" s="4" t="s">
        <v>26</v>
      </c>
    </row>
    <row r="11" customFormat="false" ht="15.75" hidden="false" customHeight="false" outlineLevel="0" collapsed="false">
      <c r="B11" s="6" t="n">
        <f aca="false">IFERROR(__xludf.dummyfunction("""COMPUTED_VALUE"""),42862.2518361343)</f>
        <v>42862.25184</v>
      </c>
      <c r="C11" s="0" t="str">
        <f aca="false">IFERROR(__xludf.dummyfunction("""COMPUTED_VALUE"""),"Храмов")</f>
        <v>Храмов</v>
      </c>
      <c r="D11" s="0" t="str">
        <f aca="false">IFERROR(__xludf.dummyfunction("""COMPUTED_VALUE"""),"Андрей")</f>
        <v>Андрей</v>
      </c>
      <c r="E11" s="0" t="n">
        <f aca="false">IFERROR(__xludf.dummyfunction("""COMPUTED_VALUE"""),8)</f>
        <v>8</v>
      </c>
      <c r="F11" s="7" t="str">
        <f aca="false">IFERROR(__xludf.dummyfunction("""COMPUTED_VALUE"""),"БОУ СОШ √83")</f>
        <v>БОУ СОШ √83</v>
      </c>
      <c r="G11" s="0" t="str">
        <f aca="false">IFERROR(__xludf.dummyfunction("""COMPUTED_VALUE"""),"Я ,скорее всего, не смогу каждый день ходить в вашу школу,т.к. у меня имеются доп.занятия.")</f>
        <v>Я ,скорее всего, не смогу каждый день ходить в вашу школу,т.к. у меня имеются доп.занятия.</v>
      </c>
      <c r="H11" s="8" t="str">
        <f aca="false">IFERROR(__xludf.dummyfunction("""COMPUTED_VALUE"""),"vk.com/damaskyoutube")</f>
        <v>vk.com/damaskyoutube</v>
      </c>
      <c r="I11" s="0" t="str">
        <f aca="false">IFERROR(__xludf.dummyfunction("""COMPUTED_VALUE"""),"khramov.02list.ru16@gmail.com")</f>
        <v>khramov.02list.ru16@gmail.com</v>
      </c>
      <c r="J11" s="0" t="str">
        <f aca="false">IFERROR(__xludf.dummyfunction("""COMPUTED_VALUE"""),"Программирование(Шульга)")</f>
        <v>Программирование(Шульга)</v>
      </c>
      <c r="L11" s="0" t="n">
        <f aca="false">IFERROR(__xludf.dummyfunction("""COMPUTED_VALUE"""),2)</f>
        <v>2</v>
      </c>
      <c r="N11" s="4" t="s">
        <v>27</v>
      </c>
      <c r="O11" s="4" t="s">
        <v>27</v>
      </c>
    </row>
    <row r="12" customFormat="false" ht="15.75" hidden="false" customHeight="false" outlineLevel="0" collapsed="false">
      <c r="B12" s="6" t="n">
        <f aca="false">IFERROR(__xludf.dummyfunction("""COMPUTED_VALUE"""),42863.3321471181)</f>
        <v>42863.33215</v>
      </c>
      <c r="C12" s="0" t="str">
        <f aca="false">IFERROR(__xludf.dummyfunction("""COMPUTED_VALUE"""),"Сташевская")</f>
        <v>Сташевская</v>
      </c>
      <c r="D12" s="0" t="str">
        <f aca="false">IFERROR(__xludf.dummyfunction("""COMPUTED_VALUE"""),"Анита")</f>
        <v>Анита</v>
      </c>
      <c r="E12" s="0" t="n">
        <f aca="false">IFERROR(__xludf.dummyfunction("""COMPUTED_VALUE"""),9)</f>
        <v>9</v>
      </c>
      <c r="F12" s="7" t="str">
        <f aca="false">IFERROR(__xludf.dummyfunction("""COMPUTED_VALUE"""),"Гимназия №84")</f>
        <v>Гимназия №84</v>
      </c>
      <c r="H12" s="8" t="str">
        <f aca="false">IFERROR(__xludf.dummyfunction("""COMPUTED_VALUE"""),"vk.com/anitastashevskaya")</f>
        <v>vk.com/anitastashevskaya</v>
      </c>
      <c r="I12" s="0" t="str">
        <f aca="false">IFERROR(__xludf.dummyfunction("""COMPUTED_VALUE"""),"anita.stashevskaya@mail.ru")</f>
        <v>anita.stashevskaya@mail.ru</v>
      </c>
      <c r="J12" s="0" t="str">
        <f aca="false">IFERROR(__xludf.dummyfunction("""COMPUTED_VALUE"""),"Физика(Шумаков)")</f>
        <v>Физика(Шумаков)</v>
      </c>
      <c r="K12" s="0" t="str">
        <f aca="false">IFERROR(__xludf.dummyfunction("""COMPUTED_VALUE"""),"Программирование(Шульга)")</f>
        <v>Программирование(Шульга)</v>
      </c>
      <c r="L12" s="0" t="n">
        <f aca="false">IFERROR(__xludf.dummyfunction("""COMPUTED_VALUE"""),2)</f>
        <v>2</v>
      </c>
      <c r="N12" s="4" t="s">
        <v>29</v>
      </c>
      <c r="O12" s="4"/>
    </row>
    <row r="13" customFormat="false" ht="15.75" hidden="false" customHeight="false" outlineLevel="0" collapsed="false">
      <c r="B13" s="6" t="n">
        <f aca="false">IFERROR(__xludf.dummyfunction("""COMPUTED_VALUE"""),42863.835979294)</f>
        <v>42863.83598</v>
      </c>
      <c r="C13" s="0" t="str">
        <f aca="false">IFERROR(__xludf.dummyfunction("""COMPUTED_VALUE"""),"Ткачёва")</f>
        <v>Ткачёва</v>
      </c>
      <c r="D13" s="0" t="str">
        <f aca="false">IFERROR(__xludf.dummyfunction("""COMPUTED_VALUE"""),"Евгения")</f>
        <v>Евгения</v>
      </c>
      <c r="E13" s="0" t="n">
        <f aca="false">IFERROR(__xludf.dummyfunction("""COMPUTED_VALUE"""),10)</f>
        <v>10</v>
      </c>
      <c r="F13" s="7" t="str">
        <f aca="false">IFERROR(__xludf.dummyfunction("""COMPUTED_VALUE"""),"лицей 143")</f>
        <v>лицей 143</v>
      </c>
      <c r="H13" s="8" t="str">
        <f aca="false">IFERROR(__xludf.dummyfunction("""COMPUTED_VALUE"""),"vk.com/zhenek1979")</f>
        <v>vk.com/zhenek1979</v>
      </c>
      <c r="I13" s="0" t="str">
        <f aca="false">IFERROR(__xludf.dummyfunction("""COMPUTED_VALUE"""),"TkachevaE143@gmail.com")</f>
        <v>TkachevaE143@gmail.com</v>
      </c>
      <c r="J13" s="0" t="str">
        <f aca="false">IFERROR(__xludf.dummyfunction("""COMPUTED_VALUE"""),"Испанский")</f>
        <v>Испанский</v>
      </c>
      <c r="K13" s="0" t="str">
        <f aca="false">IFERROR(__xludf.dummyfunction("""COMPUTED_VALUE"""),"Испанский")</f>
        <v>Испанский</v>
      </c>
      <c r="L13" s="0" t="n">
        <f aca="false">IFERROR(__xludf.dummyfunction("""COMPUTED_VALUE"""),2)</f>
        <v>2</v>
      </c>
      <c r="N13" s="4" t="s">
        <v>30</v>
      </c>
      <c r="O13" s="4" t="s">
        <v>30</v>
      </c>
    </row>
    <row r="14" customFormat="false" ht="15.75" hidden="false" customHeight="false" outlineLevel="0" collapsed="false">
      <c r="B14" s="6" t="n">
        <f aca="false">IFERROR(__xludf.dummyfunction("""COMPUTED_VALUE"""),42863.8556443866)</f>
        <v>42863.85564</v>
      </c>
      <c r="C14" s="0" t="str">
        <f aca="false">IFERROR(__xludf.dummyfunction("""COMPUTED_VALUE"""),"Фадеева")</f>
        <v>Фадеева</v>
      </c>
      <c r="D14" s="0" t="str">
        <f aca="false">IFERROR(__xludf.dummyfunction("""COMPUTED_VALUE"""),"Алена")</f>
        <v>Алена</v>
      </c>
      <c r="E14" s="0" t="n">
        <f aca="false">IFERROR(__xludf.dummyfunction("""COMPUTED_VALUE"""),11)</f>
        <v>11</v>
      </c>
      <c r="F14" s="7" t="str">
        <f aca="false">IFERROR(__xludf.dummyfunction("""COMPUTED_VALUE"""),"Лицей 64")</f>
        <v>Лицей 64</v>
      </c>
      <c r="G14" s="0" t="str">
        <f aca="false">IFERROR(__xludf.dummyfunction("""COMPUTED_VALUE"""),"Возможно уеду на время проведения,но возможно и нет!")</f>
        <v>Возможно уеду на время проведения,но возможно и нет!</v>
      </c>
      <c r="H14" s="8" t="str">
        <f aca="false">IFERROR(__xludf.dummyfunction("""COMPUTED_VALUE"""),"vk.com/alenushkaa_a")</f>
        <v>vk.com/alenushkaa_a</v>
      </c>
      <c r="I14" s="0" t="str">
        <f aca="false">IFERROR(__xludf.dummyfunction("""COMPUTED_VALUE"""),"Angela199910@mail.ru")</f>
        <v>Angela199910@mail.ru</v>
      </c>
      <c r="J14" s="0" t="str">
        <f aca="false">IFERROR(__xludf.dummyfunction("""COMPUTED_VALUE"""),"Биоинформатика")</f>
        <v>Биоинформатика</v>
      </c>
      <c r="K14" s="0" t="str">
        <f aca="false">IFERROR(__xludf.dummyfunction("""COMPUTED_VALUE"""),"Испанский")</f>
        <v>Испанский</v>
      </c>
      <c r="L14" s="0" t="n">
        <f aca="false">IFERROR(__xludf.dummyfunction("""COMPUTED_VALUE"""),2)</f>
        <v>2</v>
      </c>
    </row>
    <row r="15" customFormat="false" ht="15.75" hidden="false" customHeight="false" outlineLevel="0" collapsed="false">
      <c r="B15" s="6" t="n">
        <f aca="false">IFERROR(__xludf.dummyfunction("""COMPUTED_VALUE"""),42864.3187935532)</f>
        <v>42864.31879</v>
      </c>
      <c r="C15" s="0" t="str">
        <f aca="false">IFERROR(__xludf.dummyfunction("""COMPUTED_VALUE"""),"Шевцов")</f>
        <v>Шевцов</v>
      </c>
      <c r="D15" s="0" t="str">
        <f aca="false">IFERROR(__xludf.dummyfunction("""COMPUTED_VALUE"""),"Владислав")</f>
        <v>Владислав</v>
      </c>
      <c r="E15" s="0" t="n">
        <f aca="false">IFERROR(__xludf.dummyfunction("""COMPUTED_VALUE"""),10)</f>
        <v>10</v>
      </c>
      <c r="F15" s="7" t="str">
        <f aca="false">IFERROR(__xludf.dummyfunction("""COMPUTED_VALUE"""),"Лицей 92")</f>
        <v>Лицей 92</v>
      </c>
      <c r="G15" s="0" t="str">
        <f aca="false">IFERROR(__xludf.dummyfunction("""COMPUTED_VALUE"""),"Возможно, могут быть обстоятельства,  по которым вынужден буду отказаться, но постараюсь предупредить заранее")</f>
        <v>Возможно, могут быть обстоятельства,  по которым вынужден буду отказаться, но постараюсь предупредить заранее</v>
      </c>
      <c r="H15" s="8" t="str">
        <f aca="false">IFERROR(__xludf.dummyfunction("""COMPUTED_VALUE"""),"vk.com/shefat")</f>
        <v>vk.com/shefat</v>
      </c>
      <c r="I15" s="0" t="str">
        <f aca="false">IFERROR(__xludf.dummyfunction("""COMPUTED_VALUE"""),"InEveryGoodShefat@gmail.com")</f>
        <v>InEveryGoodShefat@gmail.com</v>
      </c>
      <c r="J15" s="0" t="str">
        <f aca="false">IFERROR(__xludf.dummyfunction("""COMPUTED_VALUE"""),"Физика(Шумаков)")</f>
        <v>Физика(Шумаков)</v>
      </c>
      <c r="K15" s="0" t="str">
        <f aca="false">IFERROR(__xludf.dummyfunction("""COMPUTED_VALUE"""),"Математика(Кудык)")</f>
        <v>Математика(Кудык)</v>
      </c>
      <c r="L15" s="0" t="n">
        <f aca="false">IFERROR(__xludf.dummyfunction("""COMPUTED_VALUE"""),2)</f>
        <v>2</v>
      </c>
    </row>
    <row r="16" customFormat="false" ht="15.75" hidden="false" customHeight="false" outlineLevel="0" collapsed="false">
      <c r="B16" s="6" t="n">
        <f aca="false">IFERROR(__xludf.dummyfunction("""COMPUTED_VALUE"""),42864.5063961574)</f>
        <v>42864.5064</v>
      </c>
      <c r="C16" s="0" t="str">
        <f aca="false">IFERROR(__xludf.dummyfunction("""COMPUTED_VALUE"""),"Кудашкина")</f>
        <v>Кудашкина</v>
      </c>
      <c r="D16" s="0" t="str">
        <f aca="false">IFERROR(__xludf.dummyfunction("""COMPUTED_VALUE"""),"Юлия")</f>
        <v>Юлия</v>
      </c>
      <c r="E16" s="0" t="n">
        <f aca="false">IFERROR(__xludf.dummyfunction("""COMPUTED_VALUE"""),10)</f>
        <v>10</v>
      </c>
      <c r="F16" s="7" t="str">
        <f aca="false">IFERROR(__xludf.dummyfunction("""COMPUTED_VALUE"""),"123")</f>
        <v>123</v>
      </c>
      <c r="H16" s="8" t="str">
        <f aca="false">IFERROR(__xludf.dummyfunction("""COMPUTED_VALUE"""),"vk.com/id183332969")</f>
        <v>vk.com/id183332969</v>
      </c>
      <c r="I16" s="0" t="str">
        <f aca="false">IFERROR(__xludf.dummyfunction("""COMPUTED_VALUE"""),"moose123@bk.ru")</f>
        <v>moose123@bk.ru</v>
      </c>
      <c r="J16" s="0" t="str">
        <f aca="false">IFERROR(__xludf.dummyfunction("""COMPUTED_VALUE"""),"Испанский")</f>
        <v>Испанский</v>
      </c>
      <c r="K16" s="0" t="str">
        <f aca="false">IFERROR(__xludf.dummyfunction("""COMPUTED_VALUE"""),"Биоинформатика")</f>
        <v>Биоинформатика</v>
      </c>
      <c r="L16" s="0" t="n">
        <f aca="false">IFERROR(__xludf.dummyfunction("""COMPUTED_VALUE"""),2)</f>
        <v>2</v>
      </c>
    </row>
    <row r="17" customFormat="false" ht="15.75" hidden="false" customHeight="false" outlineLevel="0" collapsed="false">
      <c r="B17" s="6" t="n">
        <f aca="false">IFERROR(__xludf.dummyfunction("""COMPUTED_VALUE"""),42864.5357464005)</f>
        <v>42864.53575</v>
      </c>
      <c r="C17" s="0" t="str">
        <f aca="false">IFERROR(__xludf.dummyfunction("""COMPUTED_VALUE"""),"Кельцев")</f>
        <v>Кельцев</v>
      </c>
      <c r="D17" s="0" t="str">
        <f aca="false">IFERROR(__xludf.dummyfunction("""COMPUTED_VALUE"""),"Павел")</f>
        <v>Павел</v>
      </c>
      <c r="E17" s="0" t="n">
        <f aca="false">IFERROR(__xludf.dummyfunction("""COMPUTED_VALUE"""),10)</f>
        <v>10</v>
      </c>
      <c r="F17" s="7" t="str">
        <f aca="false">IFERROR(__xludf.dummyfunction("""COMPUTED_VALUE"""),"64")</f>
        <v>64</v>
      </c>
      <c r="H17" s="8" t="str">
        <f aca="false">IFERROR(__xludf.dummyfunction("""COMPUTED_VALUE"""),"vk.com/pkeltsev")</f>
        <v>vk.com/pkeltsev</v>
      </c>
      <c r="I17" s="0" t="str">
        <f aca="false">IFERROR(__xludf.dummyfunction("""COMPUTED_VALUE"""),"pkeltsev@yandex.ru")</f>
        <v>pkeltsev@yandex.ru</v>
      </c>
      <c r="K17" s="0" t="str">
        <f aca="false">IFERROR(__xludf.dummyfunction("""COMPUTED_VALUE"""),"Программирование(Шульга)")</f>
        <v>Программирование(Шульга)</v>
      </c>
      <c r="L17" s="0" t="n">
        <f aca="false">IFERROR(__xludf.dummyfunction("""COMPUTED_VALUE"""),2)</f>
        <v>2</v>
      </c>
    </row>
    <row r="18" customFormat="false" ht="15.75" hidden="false" customHeight="false" outlineLevel="0" collapsed="false">
      <c r="B18" s="6" t="n">
        <f aca="false">IFERROR(__xludf.dummyfunction("""COMPUTED_VALUE"""),42866.7021541435)</f>
        <v>42866.70215</v>
      </c>
      <c r="C18" s="0" t="str">
        <f aca="false">IFERROR(__xludf.dummyfunction("""COMPUTED_VALUE"""),"Крючкова")</f>
        <v>Крючкова</v>
      </c>
      <c r="D18" s="0" t="str">
        <f aca="false">IFERROR(__xludf.dummyfunction("""COMPUTED_VALUE"""),"Дарья")</f>
        <v>Дарья</v>
      </c>
      <c r="E18" s="0" t="n">
        <f aca="false">IFERROR(__xludf.dummyfunction("""COMPUTED_VALUE"""),11)</f>
        <v>11</v>
      </c>
      <c r="F18" s="7" t="str">
        <f aca="false">IFERROR(__xludf.dummyfunction("""COMPUTED_VALUE"""),"Лицей 66")</f>
        <v>Лицей 66</v>
      </c>
      <c r="H18" s="8" t="str">
        <f aca="false">IFERROR(__xludf.dummyfunction("""COMPUTED_VALUE"""),"vk.com/unfraid")</f>
        <v>vk.com/unfraid</v>
      </c>
      <c r="I18" s="0" t="str">
        <f aca="false">IFERROR(__xludf.dummyfunction("""COMPUTED_VALUE"""),"qdemi@mail.ru")</f>
        <v>qdemi@mail.ru</v>
      </c>
      <c r="J18" s="0" t="str">
        <f aca="false">IFERROR(__xludf.dummyfunction("""COMPUTED_VALUE"""),"Испанский")</f>
        <v>Испанский</v>
      </c>
      <c r="K18" s="0" t="str">
        <f aca="false">IFERROR(__xludf.dummyfunction("""COMPUTED_VALUE"""),"Программирование(Шульга)")</f>
        <v>Программирование(Шульга)</v>
      </c>
      <c r="L18" s="0" t="n">
        <f aca="false">IFERROR(__xludf.dummyfunction("""COMPUTED_VALUE"""),2)</f>
        <v>2</v>
      </c>
    </row>
    <row r="19" customFormat="false" ht="15.75" hidden="false" customHeight="false" outlineLevel="0" collapsed="false">
      <c r="B19" s="6" t="n">
        <f aca="false">IFERROR(__xludf.dummyfunction("""COMPUTED_VALUE"""),42866.7996534028)</f>
        <v>42866.79965</v>
      </c>
      <c r="C19" s="0" t="str">
        <f aca="false">IFERROR(__xludf.dummyfunction("""COMPUTED_VALUE"""),"Коломеец")</f>
        <v>Коломеец</v>
      </c>
      <c r="D19" s="0" t="str">
        <f aca="false">IFERROR(__xludf.dummyfunction("""COMPUTED_VALUE"""),"Анна")</f>
        <v>Анна</v>
      </c>
      <c r="E19" s="0" t="n">
        <f aca="false">IFERROR(__xludf.dummyfunction("""COMPUTED_VALUE"""),10)</f>
        <v>10</v>
      </c>
      <c r="F19" s="7" t="str">
        <f aca="false">IFERROR(__xludf.dummyfunction("""COMPUTED_VALUE"""),"БОУ СОШУИОП 73")</f>
        <v>БОУ СОШУИОП 73</v>
      </c>
      <c r="H19" s="8" t="str">
        <f aca="false">IFERROR(__xludf.dummyfunction("""COMPUTED_VALUE"""),"vk.com/id157847345")</f>
        <v>vk.com/id157847345</v>
      </c>
      <c r="I19" s="0" t="str">
        <f aca="false">IFERROR(__xludf.dummyfunction("""COMPUTED_VALUE"""),"ania.siekriet@mail.ru")</f>
        <v>ania.siekriet@mail.ru</v>
      </c>
      <c r="J19" s="0" t="str">
        <f aca="false">IFERROR(__xludf.dummyfunction("""COMPUTED_VALUE"""),"Программирование(Шульга)")</f>
        <v>Программирование(Шульга)</v>
      </c>
      <c r="K19" s="0" t="str">
        <f aca="false">IFERROR(__xludf.dummyfunction("""COMPUTED_VALUE"""),"Математика(Кудык)")</f>
        <v>Математика(Кудык)</v>
      </c>
      <c r="L19" s="0" t="n">
        <f aca="false">IFERROR(__xludf.dummyfunction("""COMPUTED_VALUE"""),2)</f>
        <v>2</v>
      </c>
    </row>
    <row r="20" customFormat="false" ht="15.75" hidden="false" customHeight="false" outlineLevel="0" collapsed="false">
      <c r="B20" s="6" t="n">
        <f aca="false">IFERROR(__xludf.dummyfunction("""COMPUTED_VALUE"""),42871.7783947917)</f>
        <v>42871.77839</v>
      </c>
      <c r="C20" s="0" t="str">
        <f aca="false">IFERROR(__xludf.dummyfunction("""COMPUTED_VALUE"""),"Киселев")</f>
        <v>Киселев</v>
      </c>
      <c r="D20" s="0" t="str">
        <f aca="false">IFERROR(__xludf.dummyfunction("""COMPUTED_VALUE"""),"Кирилл")</f>
        <v>Кирилл</v>
      </c>
      <c r="E20" s="0" t="n">
        <f aca="false">IFERROR(__xludf.dummyfunction("""COMPUTED_VALUE"""),8)</f>
        <v>8</v>
      </c>
      <c r="F20" s="7" t="str">
        <f aca="false">IFERROR(__xludf.dummyfunction("""COMPUTED_VALUE"""),"Лицей №149")</f>
        <v>Лицей №149</v>
      </c>
      <c r="G20" s="0" t="str">
        <f aca="false">IFERROR(__xludf.dummyfunction("""COMPUTED_VALUE"""),"Может быть только первую половину")</f>
        <v>Может быть только первую половину</v>
      </c>
      <c r="H20" s="8" t="str">
        <f aca="false">IFERROR(__xludf.dummyfunction("""COMPUTED_VALUE"""),"vk.com/fogo_f")</f>
        <v>vk.com/fogo_f</v>
      </c>
      <c r="I20" s="0" t="str">
        <f aca="false">IFERROR(__xludf.dummyfunction("""COMPUTED_VALUE"""),"Kirill_k2002@mail.ru")</f>
        <v>Kirill_k2002@mail.ru</v>
      </c>
      <c r="J20" s="0" t="str">
        <f aca="false">IFERROR(__xludf.dummyfunction("""COMPUTED_VALUE"""),"Программирование(Шульга)")</f>
        <v>Программирование(Шульга)</v>
      </c>
      <c r="L20" s="0" t="n">
        <f aca="false">IFERROR(__xludf.dummyfunction("""COMPUTED_VALUE"""),2)</f>
        <v>2</v>
      </c>
    </row>
    <row r="21" customFormat="false" ht="15.75" hidden="false" customHeight="false" outlineLevel="0" collapsed="false">
      <c r="B21" s="6" t="n">
        <f aca="false">IFERROR(__xludf.dummyfunction("""COMPUTED_VALUE"""),42872.5950278935)</f>
        <v>42872.59503</v>
      </c>
      <c r="C21" s="0" t="str">
        <f aca="false">IFERROR(__xludf.dummyfunction("""COMPUTED_VALUE"""),"Гнедина")</f>
        <v>Гнедина</v>
      </c>
      <c r="D21" s="0" t="str">
        <f aca="false">IFERROR(__xludf.dummyfunction("""COMPUTED_VALUE"""),"Юлия")</f>
        <v>Юлия</v>
      </c>
      <c r="E21" s="0" t="n">
        <f aca="false">IFERROR(__xludf.dummyfunction("""COMPUTED_VALUE"""),7)</f>
        <v>7</v>
      </c>
      <c r="F21" s="7" t="str">
        <f aca="false">IFERROR(__xludf.dummyfunction("""COMPUTED_VALUE"""),"117")</f>
        <v>117</v>
      </c>
      <c r="H21" s="8" t="str">
        <f aca="false">IFERROR(__xludf.dummyfunction("""COMPUTED_VALUE"""),"vk.com/id316784802")</f>
        <v>vk.com/id316784802</v>
      </c>
      <c r="I21" s="0" t="str">
        <f aca="false">IFERROR(__xludf.dummyfunction("""COMPUTED_VALUE"""),"Lula_Gnedina@mail.ru")</f>
        <v>Lula_Gnedina@mail.ru</v>
      </c>
      <c r="J21" s="0" t="str">
        <f aca="false">IFERROR(__xludf.dummyfunction("""COMPUTED_VALUE"""),"Математика(Кудык)")</f>
        <v>Математика(Кудык)</v>
      </c>
      <c r="K21" s="0" t="str">
        <f aca="false">IFERROR(__xludf.dummyfunction("""COMPUTED_VALUE"""),"Испанский")</f>
        <v>Испанский</v>
      </c>
      <c r="L21" s="0" t="n">
        <f aca="false">IFERROR(__xludf.dummyfunction("""COMPUTED_VALUE"""),2)</f>
        <v>2</v>
      </c>
    </row>
    <row r="22" customFormat="false" ht="15.75" hidden="false" customHeight="false" outlineLevel="0" collapsed="false">
      <c r="B22" s="6" t="n">
        <f aca="false">IFERROR(__xludf.dummyfunction("""COMPUTED_VALUE"""),42872.6753967014)</f>
        <v>42872.6754</v>
      </c>
      <c r="C22" s="0" t="str">
        <f aca="false">IFERROR(__xludf.dummyfunction("""COMPUTED_VALUE"""),"Дизер")</f>
        <v>Дизер</v>
      </c>
      <c r="D22" s="0" t="str">
        <f aca="false">IFERROR(__xludf.dummyfunction("""COMPUTED_VALUE"""),"Маргарита ")</f>
        <v>Маргарита</v>
      </c>
      <c r="E22" s="0" t="n">
        <f aca="false">IFERROR(__xludf.dummyfunction("""COMPUTED_VALUE"""),10)</f>
        <v>10</v>
      </c>
      <c r="F22" s="7" t="str">
        <f aca="false">IFERROR(__xludf.dummyfunction("""COMPUTED_VALUE"""),"БОУ ОО ""МОЦРО № 117""")</f>
        <v>БОУ ОО "МОЦРО № 117"</v>
      </c>
      <c r="H22" s="8" t="str">
        <f aca="false">IFERROR(__xludf.dummyfunction("""COMPUTED_VALUE"""),"vk.com/ekweis")</f>
        <v>vk.com/ekweis</v>
      </c>
      <c r="I22" s="0" t="str">
        <f aca="false">IFERROR(__xludf.dummyfunction("""COMPUTED_VALUE"""),"ieufloria@gmail.com")</f>
        <v>ieufloria@gmail.com</v>
      </c>
      <c r="J22" s="0" t="str">
        <f aca="false">IFERROR(__xludf.dummyfunction("""COMPUTED_VALUE"""),"Испанский")</f>
        <v>Испанский</v>
      </c>
      <c r="K22" s="0" t="str">
        <f aca="false">IFERROR(__xludf.dummyfunction("""COMPUTED_VALUE"""),"Биоинформатика")</f>
        <v>Биоинформатика</v>
      </c>
      <c r="L22" s="0" t="n">
        <f aca="false">IFERROR(__xludf.dummyfunction("""COMPUTED_VALUE"""),2)</f>
        <v>2</v>
      </c>
    </row>
    <row r="23" customFormat="false" ht="15.75" hidden="false" customHeight="false" outlineLevel="0" collapsed="false">
      <c r="B23" s="6" t="n">
        <f aca="false">IFERROR(__xludf.dummyfunction("""COMPUTED_VALUE"""),42872.6792130903)</f>
        <v>42872.67921</v>
      </c>
      <c r="C23" s="0" t="str">
        <f aca="false">IFERROR(__xludf.dummyfunction("""COMPUTED_VALUE"""),"Ефимова")</f>
        <v>Ефимова</v>
      </c>
      <c r="D23" s="0" t="str">
        <f aca="false">IFERROR(__xludf.dummyfunction("""COMPUTED_VALUE"""),"Екатерина")</f>
        <v>Екатерина</v>
      </c>
      <c r="E23" s="0" t="n">
        <f aca="false">IFERROR(__xludf.dummyfunction("""COMPUTED_VALUE"""),7)</f>
        <v>7</v>
      </c>
      <c r="F23" s="7" t="str">
        <f aca="false">IFERROR(__xludf.dummyfunction("""COMPUTED_VALUE"""),"25")</f>
        <v>25</v>
      </c>
      <c r="H23" s="0" t="str">
        <f aca="false">IFERROR(__xludf.dummyfunction("""COMPUTED_VALUE"""),"Нет")</f>
        <v>Нет</v>
      </c>
      <c r="I23" s="0" t="str">
        <f aca="false">IFERROR(__xludf.dummyfunction("""COMPUTED_VALUE"""),"kate_efimova@inbox.ru")</f>
        <v>kate_efimova@inbox.ru</v>
      </c>
      <c r="J23" s="0" t="str">
        <f aca="false">IFERROR(__xludf.dummyfunction("""COMPUTED_VALUE"""),"Математика(Кудык)")</f>
        <v>Математика(Кудык)</v>
      </c>
      <c r="K23" s="0" t="str">
        <f aca="false">IFERROR(__xludf.dummyfunction("""COMPUTED_VALUE"""),"Программирование(Шульга)")</f>
        <v>Программирование(Шульга)</v>
      </c>
      <c r="L23" s="0" t="n">
        <f aca="false">IFERROR(__xludf.dummyfunction("""COMPUTED_VALUE"""),1)</f>
        <v>1</v>
      </c>
    </row>
    <row r="24" customFormat="false" ht="15.75" hidden="false" customHeight="false" outlineLevel="0" collapsed="false">
      <c r="B24" s="6" t="n">
        <f aca="false">IFERROR(__xludf.dummyfunction("""COMPUTED_VALUE"""),42872.7177678357)</f>
        <v>42872.71777</v>
      </c>
      <c r="C24" s="0" t="str">
        <f aca="false">IFERROR(__xludf.dummyfunction("""COMPUTED_VALUE"""),"Гарбуз")</f>
        <v>Гарбуз</v>
      </c>
      <c r="D24" s="0" t="str">
        <f aca="false">IFERROR(__xludf.dummyfunction("""COMPUTED_VALUE"""),"Арина")</f>
        <v>Арина</v>
      </c>
      <c r="E24" s="0" t="n">
        <f aca="false">IFERROR(__xludf.dummyfunction("""COMPUTED_VALUE"""),7)</f>
        <v>7</v>
      </c>
      <c r="F24" s="7" t="str">
        <f aca="false">IFERROR(__xludf.dummyfunction("""COMPUTED_VALUE"""),"98")</f>
        <v>98</v>
      </c>
      <c r="H24" s="8" t="str">
        <f aca="false">IFERROR(__xludf.dummyfunction("""COMPUTED_VALUE"""),"vk.com/agarbus2003")</f>
        <v>vk.com/agarbus2003</v>
      </c>
      <c r="I24" s="0" t="str">
        <f aca="false">IFERROR(__xludf.dummyfunction("""COMPUTED_VALUE"""),"gaa7086@gmail.com")</f>
        <v>gaa7086@gmail.com</v>
      </c>
      <c r="J24" s="0" t="str">
        <f aca="false">IFERROR(__xludf.dummyfunction("""COMPUTED_VALUE"""),"Математика(Кудык)")</f>
        <v>Математика(Кудык)</v>
      </c>
      <c r="K24" s="0" t="str">
        <f aca="false">IFERROR(__xludf.dummyfunction("""COMPUTED_VALUE"""),"Испанский")</f>
        <v>Испанский</v>
      </c>
      <c r="L24" s="0" t="n">
        <f aca="false">IFERROR(__xludf.dummyfunction("""COMPUTED_VALUE"""),2)</f>
        <v>2</v>
      </c>
    </row>
    <row r="25" customFormat="false" ht="15.75" hidden="false" customHeight="false" outlineLevel="0" collapsed="false">
      <c r="B25" s="6" t="n">
        <f aca="false">IFERROR(__xludf.dummyfunction("""COMPUTED_VALUE"""),42872.7721950579)</f>
        <v>42872.7722</v>
      </c>
      <c r="C25" s="0" t="str">
        <f aca="false">IFERROR(__xludf.dummyfunction("""COMPUTED_VALUE"""),"Артамонов")</f>
        <v>Артамонов</v>
      </c>
      <c r="D25" s="0" t="str">
        <f aca="false">IFERROR(__xludf.dummyfunction("""COMPUTED_VALUE"""),"Виктор")</f>
        <v>Виктор</v>
      </c>
      <c r="E25" s="0" t="n">
        <f aca="false">IFERROR(__xludf.dummyfunction("""COMPUTED_VALUE"""),9)</f>
        <v>9</v>
      </c>
      <c r="F25" s="7" t="str">
        <f aca="false">IFERROR(__xludf.dummyfunction("""COMPUTED_VALUE"""),"Гимназия № 140")</f>
        <v>Гимназия № 140</v>
      </c>
      <c r="H25" s="8" t="str">
        <f aca="false">IFERROR(__xludf.dummyfunction("""COMPUTED_VALUE"""),"vk.com/svandrith")</f>
        <v>vk.com/svandrith</v>
      </c>
      <c r="I25" s="0" t="str">
        <f aca="false">IFERROR(__xludf.dummyfunction("""COMPUTED_VALUE"""),"mr.viktorasov@mail.ru")</f>
        <v>mr.viktorasov@mail.ru</v>
      </c>
      <c r="J25" s="0" t="str">
        <f aca="false">IFERROR(__xludf.dummyfunction("""COMPUTED_VALUE"""),"Физика(Шумаков)")</f>
        <v>Физика(Шумаков)</v>
      </c>
      <c r="K25" s="0" t="str">
        <f aca="false">IFERROR(__xludf.dummyfunction("""COMPUTED_VALUE"""),"Программирование(Шульга)")</f>
        <v>Программирование(Шульга)</v>
      </c>
      <c r="L25" s="0" t="n">
        <f aca="false">IFERROR(__xludf.dummyfunction("""COMPUTED_VALUE"""),2)</f>
        <v>2</v>
      </c>
    </row>
    <row r="26" customFormat="false" ht="15.75" hidden="false" customHeight="false" outlineLevel="0" collapsed="false">
      <c r="B26" s="6" t="n">
        <f aca="false">IFERROR(__xludf.dummyfunction("""COMPUTED_VALUE"""),42873.307792662)</f>
        <v>42873.30779</v>
      </c>
      <c r="C26" s="0" t="str">
        <f aca="false">IFERROR(__xludf.dummyfunction("""COMPUTED_VALUE"""),"Мальцев")</f>
        <v>Мальцев</v>
      </c>
      <c r="D26" s="0" t="str">
        <f aca="false">IFERROR(__xludf.dummyfunction("""COMPUTED_VALUE"""),"Владимир")</f>
        <v>Владимир</v>
      </c>
      <c r="E26" s="0" t="n">
        <f aca="false">IFERROR(__xludf.dummyfunction("""COMPUTED_VALUE"""),7)</f>
        <v>7</v>
      </c>
      <c r="F26" s="7" t="str">
        <f aca="false">IFERROR(__xludf.dummyfunction("""COMPUTED_VALUE"""),"149")</f>
        <v>149</v>
      </c>
      <c r="H26" s="8" t="str">
        <f aca="false">IFERROR(__xludf.dummyfunction("""COMPUTED_VALUE"""),"vk.com/id269312243")</f>
        <v>vk.com/id269312243</v>
      </c>
      <c r="I26" s="0" t="str">
        <f aca="false">IFERROR(__xludf.dummyfunction("""COMPUTED_VALUE"""),"masnaja_marina@mail.ru")</f>
        <v>masnaja_marina@mail.ru</v>
      </c>
      <c r="J26" s="0" t="str">
        <f aca="false">IFERROR(__xludf.dummyfunction("""COMPUTED_VALUE"""),"Математика(Кудык)")</f>
        <v>Математика(Кудык)</v>
      </c>
      <c r="K26" s="0" t="str">
        <f aca="false">IFERROR(__xludf.dummyfunction("""COMPUTED_VALUE"""),"Программирование(Шульга)")</f>
        <v>Программирование(Шульга)</v>
      </c>
      <c r="L26" s="0" t="n">
        <f aca="false">IFERROR(__xludf.dummyfunction("""COMPUTED_VALUE"""),2)</f>
        <v>2</v>
      </c>
    </row>
    <row r="27" customFormat="false" ht="15.75" hidden="false" customHeight="false" outlineLevel="0" collapsed="false">
      <c r="B27" s="6" t="n">
        <f aca="false">IFERROR(__xludf.dummyfunction("""COMPUTED_VALUE"""),42873.6433293634)</f>
        <v>42873.64333</v>
      </c>
      <c r="C27" s="0" t="str">
        <f aca="false">IFERROR(__xludf.dummyfunction("""COMPUTED_VALUE"""),"Черноок")</f>
        <v>Черноок</v>
      </c>
      <c r="D27" s="0" t="str">
        <f aca="false">IFERROR(__xludf.dummyfunction("""COMPUTED_VALUE"""),"Егор ")</f>
        <v>Егор</v>
      </c>
      <c r="E27" s="0" t="n">
        <f aca="false">IFERROR(__xludf.dummyfunction("""COMPUTED_VALUE"""),10)</f>
        <v>10</v>
      </c>
      <c r="F27" s="7" t="str">
        <f aca="false">IFERROR(__xludf.dummyfunction("""COMPUTED_VALUE"""),"МОЦРО 117")</f>
        <v>МОЦРО 117</v>
      </c>
      <c r="H27" s="8" t="str">
        <f aca="false">IFERROR(__xludf.dummyfunction("""COMPUTED_VALUE"""),"vk.com/id149548495")</f>
        <v>vk.com/id149548495</v>
      </c>
      <c r="I27" s="0" t="str">
        <f aca="false">IFERROR(__xludf.dummyfunction("""COMPUTED_VALUE"""),"egor-chernook@mail.ru")</f>
        <v>egor-chernook@mail.ru</v>
      </c>
      <c r="J27" s="0" t="str">
        <f aca="false">IFERROR(__xludf.dummyfunction("""COMPUTED_VALUE"""),"Физика(Шумаков)")</f>
        <v>Физика(Шумаков)</v>
      </c>
      <c r="K27" s="0" t="str">
        <f aca="false">IFERROR(__xludf.dummyfunction("""COMPUTED_VALUE"""),"Программирование(Шульга)")</f>
        <v>Программирование(Шульга)</v>
      </c>
      <c r="L27" s="0" t="n">
        <f aca="false">IFERROR(__xludf.dummyfunction("""COMPUTED_VALUE"""),2)</f>
        <v>2</v>
      </c>
    </row>
    <row r="28" customFormat="false" ht="15.75" hidden="false" customHeight="false" outlineLevel="0" collapsed="false">
      <c r="B28" s="6" t="n">
        <f aca="false">IFERROR(__xludf.dummyfunction("""COMPUTED_VALUE"""),42873.7157607523)</f>
        <v>42873.71576</v>
      </c>
      <c r="C28" s="0" t="str">
        <f aca="false">IFERROR(__xludf.dummyfunction("""COMPUTED_VALUE"""),"Кошевая")</f>
        <v>Кошевая</v>
      </c>
      <c r="D28" s="0" t="str">
        <f aca="false">IFERROR(__xludf.dummyfunction("""COMPUTED_VALUE"""),"Анастасия")</f>
        <v>Анастасия</v>
      </c>
      <c r="E28" s="0" t="n">
        <f aca="false">IFERROR(__xludf.dummyfunction("""COMPUTED_VALUE"""),7)</f>
        <v>7</v>
      </c>
      <c r="F28" s="7" t="str">
        <f aca="false">IFERROR(__xludf.dummyfunction("""COMPUTED_VALUE"""),"""МОЦРО 117""")</f>
        <v>"МОЦРО 117"</v>
      </c>
      <c r="H28" s="8" t="str">
        <f aca="false">IFERROR(__xludf.dummyfunction("""COMPUTED_VALUE"""),"vk.com/id249818753")</f>
        <v>vk.com/id249818753</v>
      </c>
      <c r="I28" s="0" t="str">
        <f aca="false">IFERROR(__xludf.dummyfunction("""COMPUTED_VALUE"""),"kov_otp@mail.ru")</f>
        <v>kov_otp@mail.ru</v>
      </c>
      <c r="J28" s="0" t="str">
        <f aca="false">IFERROR(__xludf.dummyfunction("""COMPUTED_VALUE"""),"Математика(Кудык)")</f>
        <v>Математика(Кудык)</v>
      </c>
      <c r="K28" s="0" t="str">
        <f aca="false">IFERROR(__xludf.dummyfunction("""COMPUTED_VALUE"""),"Программирование(Шульга)")</f>
        <v>Программирование(Шульга)</v>
      </c>
      <c r="L28" s="0" t="n">
        <f aca="false">IFERROR(__xludf.dummyfunction("""COMPUTED_VALUE"""),2)</f>
        <v>2</v>
      </c>
    </row>
    <row r="29" customFormat="false" ht="15.75" hidden="false" customHeight="false" outlineLevel="0" collapsed="false">
      <c r="B29" s="6" t="n">
        <f aca="false">IFERROR(__xludf.dummyfunction("""COMPUTED_VALUE"""),42873.7369209259)</f>
        <v>42873.73692</v>
      </c>
      <c r="C29" s="0" t="str">
        <f aca="false">IFERROR(__xludf.dummyfunction("""COMPUTED_VALUE"""),"Крючков")</f>
        <v>Крючков</v>
      </c>
      <c r="D29" s="0" t="str">
        <f aca="false">IFERROR(__xludf.dummyfunction("""COMPUTED_VALUE"""),"Сергей")</f>
        <v>Сергей</v>
      </c>
      <c r="E29" s="0" t="n">
        <f aca="false">IFERROR(__xludf.dummyfunction("""COMPUTED_VALUE"""),9)</f>
        <v>9</v>
      </c>
      <c r="F29" s="7" t="str">
        <f aca="false">IFERROR(__xludf.dummyfunction("""COMPUTED_VALUE"""),"БОУ г. Омска Лицей №66 ")</f>
        <v>БОУ г. Омска Лицей №66</v>
      </c>
      <c r="H29" s="8" t="str">
        <f aca="false">IFERROR(__xludf.dummyfunction("""COMPUTED_VALUE"""),"vk.com/sergey80401")</f>
        <v>vk.com/sergey80401</v>
      </c>
      <c r="I29" s="0" t="str">
        <f aca="false">IFERROR(__xludf.dummyfunction("""COMPUTED_VALUE"""),"sergey80401@gmail.com")</f>
        <v>sergey80401@gmail.com</v>
      </c>
      <c r="J29" s="0" t="str">
        <f aca="false">IFERROR(__xludf.dummyfunction("""COMPUTED_VALUE"""),"Программирование(Шульга)")</f>
        <v>Программирование(Шульга)</v>
      </c>
      <c r="K29" s="0" t="str">
        <f aca="false">IFERROR(__xludf.dummyfunction("""COMPUTED_VALUE"""),"Математика(Кудык)")</f>
        <v>Математика(Кудык)</v>
      </c>
      <c r="L29" s="0" t="n">
        <f aca="false">IFERROR(__xludf.dummyfunction("""COMPUTED_VALUE"""),2)</f>
        <v>2</v>
      </c>
    </row>
    <row r="30" customFormat="false" ht="15.75" hidden="false" customHeight="false" outlineLevel="0" collapsed="false">
      <c r="B30" s="6" t="n">
        <f aca="false">IFERROR(__xludf.dummyfunction("""COMPUTED_VALUE"""),42874.7709773727)</f>
        <v>42874.77098</v>
      </c>
      <c r="C30" s="0" t="str">
        <f aca="false">IFERROR(__xludf.dummyfunction("""COMPUTED_VALUE"""),"Долгова")</f>
        <v>Долгова</v>
      </c>
      <c r="D30" s="0" t="str">
        <f aca="false">IFERROR(__xludf.dummyfunction("""COMPUTED_VALUE"""),"Анна")</f>
        <v>Анна</v>
      </c>
      <c r="E30" s="0" t="n">
        <f aca="false">IFERROR(__xludf.dummyfunction("""COMPUTED_VALUE"""),7)</f>
        <v>7</v>
      </c>
      <c r="F30" s="0" t="str">
        <f aca="false">IFERROR(__xludf.dummyfunction("""COMPUTED_VALUE"""),"БОУ ОО ""МОЦРО #117""")</f>
        <v>БОУ ОО "МОЦРО #117"</v>
      </c>
      <c r="H30" s="8" t="str">
        <f aca="false">IFERROR(__xludf.dummyfunction("""COMPUTED_VALUE"""),"vk.com/anna_dolgova2004")</f>
        <v>vk.com/anna_dolgova2004</v>
      </c>
      <c r="I30" s="0" t="str">
        <f aca="false">IFERROR(__xludf.dummyfunction("""COMPUTED_VALUE"""),"anna.dolgova.2004@mail.ru")</f>
        <v>anna.dolgova.2004@mail.ru</v>
      </c>
      <c r="J30" s="0" t="str">
        <f aca="false">IFERROR(__xludf.dummyfunction("""COMPUTED_VALUE"""),"Испанский")</f>
        <v>Испанский</v>
      </c>
      <c r="K30" s="0" t="str">
        <f aca="false">IFERROR(__xludf.dummyfunction("""COMPUTED_VALUE"""),"Программирование(Шульга)")</f>
        <v>Программирование(Шульга)</v>
      </c>
      <c r="L30" s="0" t="n">
        <f aca="false">IFERROR(__xludf.dummyfunction("""COMPUTED_VALUE"""),2)</f>
        <v>2</v>
      </c>
    </row>
    <row r="31" customFormat="false" ht="15.75" hidden="false" customHeight="false" outlineLevel="0" collapsed="false">
      <c r="B31" s="6" t="n">
        <f aca="false">IFERROR(__xludf.dummyfunction("""COMPUTED_VALUE"""),42876.7135603356)</f>
        <v>42876.71356</v>
      </c>
      <c r="C31" s="0" t="str">
        <f aca="false">IFERROR(__xludf.dummyfunction("""COMPUTED_VALUE"""),"Поркулевич")</f>
        <v>Поркулевич</v>
      </c>
      <c r="D31" s="0" t="str">
        <f aca="false">IFERROR(__xludf.dummyfunction("""COMPUTED_VALUE"""),"Семён")</f>
        <v>Семён</v>
      </c>
      <c r="E31" s="0" t="n">
        <f aca="false">IFERROR(__xludf.dummyfunction("""COMPUTED_VALUE"""),9)</f>
        <v>9</v>
      </c>
      <c r="F31" s="0" t="n">
        <f aca="false">IFERROR(__xludf.dummyfunction("""COMPUTED_VALUE"""),64)</f>
        <v>64</v>
      </c>
      <c r="H31" s="8" t="str">
        <f aca="false">IFERROR(__xludf.dummyfunction("""COMPUTED_VALUE"""),"vk.com/id153731120")</f>
        <v>vk.com/id153731120</v>
      </c>
      <c r="I31" s="0" t="str">
        <f aca="false">IFERROR(__xludf.dummyfunction("""COMPUTED_VALUE"""),"Ctvty0604@mail.ru")</f>
        <v>Ctvty0604@mail.ru</v>
      </c>
      <c r="J31" s="0" t="str">
        <f aca="false">IFERROR(__xludf.dummyfunction("""COMPUTED_VALUE"""),"Биоинформатика")</f>
        <v>Биоинформатика</v>
      </c>
      <c r="K31" s="0" t="str">
        <f aca="false">IFERROR(__xludf.dummyfunction("""COMPUTED_VALUE"""),"Программирование(Шульга)")</f>
        <v>Программирование(Шульга)</v>
      </c>
      <c r="L31" s="0" t="n">
        <f aca="false">IFERROR(__xludf.dummyfunction("""COMPUTED_VALUE"""),2)</f>
        <v>2</v>
      </c>
    </row>
    <row r="32" customFormat="false" ht="15.75" hidden="false" customHeight="false" outlineLevel="0" collapsed="false">
      <c r="B32" s="6" t="n">
        <f aca="false">IFERROR(__xludf.dummyfunction("""COMPUTED_VALUE"""),42877.7917841667)</f>
        <v>42877.79178</v>
      </c>
      <c r="C32" s="0" t="str">
        <f aca="false">IFERROR(__xludf.dummyfunction("""COMPUTED_VALUE"""),"Гричкоедова")</f>
        <v>Гричкоедова</v>
      </c>
      <c r="D32" s="0" t="str">
        <f aca="false">IFERROR(__xludf.dummyfunction("""COMPUTED_VALUE"""),"Анастасия")</f>
        <v>Анастасия</v>
      </c>
      <c r="E32" s="0" t="n">
        <f aca="false">IFERROR(__xludf.dummyfunction("""COMPUTED_VALUE"""),8)</f>
        <v>8</v>
      </c>
      <c r="F32" s="0" t="str">
        <f aca="false">IFERROR(__xludf.dummyfunction("""COMPUTED_VALUE"""),"БОУ Лицей №149")</f>
        <v>БОУ Лицей №149</v>
      </c>
      <c r="H32" s="8" t="str">
        <f aca="false">IFERROR(__xludf.dummyfunction("""COMPUTED_VALUE"""),"vk.com/grichkoedova")</f>
        <v>vk.com/grichkoedova</v>
      </c>
      <c r="I32" s="0" t="str">
        <f aca="false">IFERROR(__xludf.dummyfunction("""COMPUTED_VALUE"""),"grichkoedova@yandex.ru")</f>
        <v>grichkoedova@yandex.ru</v>
      </c>
      <c r="J32" s="0" t="str">
        <f aca="false">IFERROR(__xludf.dummyfunction("""COMPUTED_VALUE"""),"Математика(Кудык)")</f>
        <v>Математика(Кудык)</v>
      </c>
      <c r="K32" s="0" t="str">
        <f aca="false">IFERROR(__xludf.dummyfunction("""COMPUTED_VALUE"""),"Испанский")</f>
        <v>Испанский</v>
      </c>
      <c r="L32" s="0" t="n">
        <f aca="false">IFERROR(__xludf.dummyfunction("""COMPUTED_VALUE"""),2)</f>
        <v>2</v>
      </c>
    </row>
    <row r="33" customFormat="false" ht="15.75" hidden="false" customHeight="false" outlineLevel="0" collapsed="false">
      <c r="B33" s="6" t="n">
        <f aca="false">IFERROR(__xludf.dummyfunction("""COMPUTED_VALUE"""),42884.6575897685)</f>
        <v>42884.65759</v>
      </c>
      <c r="C33" s="0" t="str">
        <f aca="false">IFERROR(__xludf.dummyfunction("""COMPUTED_VALUE"""),"Усова")</f>
        <v>Усова</v>
      </c>
      <c r="D33" s="0" t="str">
        <f aca="false">IFERROR(__xludf.dummyfunction("""COMPUTED_VALUE"""),"Вероника")</f>
        <v>Вероника</v>
      </c>
      <c r="E33" s="0" t="n">
        <f aca="false">IFERROR(__xludf.dummyfunction("""COMPUTED_VALUE"""),5)</f>
        <v>5</v>
      </c>
      <c r="F33" s="0" t="str">
        <f aca="false">IFERROR(__xludf.dummyfunction("""COMPUTED_VALUE"""),"БОУ ОО г. Омска МОЦРО ""ГИнмазия 117""")</f>
        <v>БОУ ОО г. Омска МОЦРО "ГИнмазия 117"</v>
      </c>
      <c r="H33" s="8" t="str">
        <f aca="false">IFERROR(__xludf.dummyfunction("""COMPUTED_VALUE"""),"vk.com/id403901742")</f>
        <v>vk.com/id403901742</v>
      </c>
      <c r="I33" s="0" t="str">
        <f aca="false">IFERROR(__xludf.dummyfunction("""COMPUTED_VALUE"""),"veronika.usova51@mail.ru")</f>
        <v>veronika.usova51@mail.ru</v>
      </c>
      <c r="J33" s="0" t="str">
        <f aca="false">IFERROR(__xludf.dummyfunction("""COMPUTED_VALUE"""),"Испанский")</f>
        <v>Испанский</v>
      </c>
      <c r="L33" s="0" t="n">
        <f aca="false">IFERROR(__xludf.dummyfunction("""COMPUTED_VALUE"""),2)</f>
        <v>2</v>
      </c>
    </row>
    <row r="34" customFormat="false" ht="15.75" hidden="false" customHeight="false" outlineLevel="0" collapsed="false">
      <c r="B34" s="6" t="n">
        <f aca="false">IFERROR(__xludf.dummyfunction("""COMPUTED_VALUE"""),42885.3605682292)</f>
        <v>42885.36057</v>
      </c>
      <c r="C34" s="0" t="str">
        <f aca="false">IFERROR(__xludf.dummyfunction("""COMPUTED_VALUE"""),"Деркач")</f>
        <v>Деркач</v>
      </c>
      <c r="D34" s="0" t="str">
        <f aca="false">IFERROR(__xludf.dummyfunction("""COMPUTED_VALUE"""),"Александра")</f>
        <v>Александра</v>
      </c>
      <c r="E34" s="0" t="n">
        <f aca="false">IFERROR(__xludf.dummyfunction("""COMPUTED_VALUE"""),7)</f>
        <v>7</v>
      </c>
      <c r="F34" s="0" t="n">
        <f aca="false">IFERROR(__xludf.dummyfunction("""COMPUTED_VALUE"""),117)</f>
        <v>117</v>
      </c>
      <c r="H34" s="8" t="str">
        <f aca="false">IFERROR(__xludf.dummyfunction("""COMPUTED_VALUE"""),"vk.com/aderkach2017")</f>
        <v>vk.com/aderkach2017</v>
      </c>
      <c r="I34" s="0" t="str">
        <f aca="false">IFERROR(__xludf.dummyfunction("""COMPUTED_VALUE"""),"xenia_derkach@mail.ru")</f>
        <v>xenia_derkach@mail.ru</v>
      </c>
      <c r="J34" s="0" t="str">
        <f aca="false">IFERROR(__xludf.dummyfunction("""COMPUTED_VALUE"""),"Математика(Кудык)")</f>
        <v>Математика(Кудык)</v>
      </c>
      <c r="K34" s="0" t="str">
        <f aca="false">IFERROR(__xludf.dummyfunction("""COMPUTED_VALUE"""),"Испанский")</f>
        <v>Испанский</v>
      </c>
      <c r="L34" s="0" t="n">
        <f aca="false">IFERROR(__xludf.dummyfunction("""COMPUTED_VALUE"""),1)</f>
        <v>1</v>
      </c>
    </row>
    <row r="35" customFormat="false" ht="15.75" hidden="false" customHeight="false" outlineLevel="0" collapsed="false">
      <c r="B35" s="6" t="n">
        <f aca="false">IFERROR(__xludf.dummyfunction("""COMPUTED_VALUE"""),42886.7004684028)</f>
        <v>42886.70047</v>
      </c>
      <c r="C35" s="0" t="str">
        <f aca="false">IFERROR(__xludf.dummyfunction("""COMPUTED_VALUE"""),"Бендик ")</f>
        <v>Бендик</v>
      </c>
      <c r="D35" s="0" t="str">
        <f aca="false">IFERROR(__xludf.dummyfunction("""COMPUTED_VALUE"""),"Илья")</f>
        <v>Илья</v>
      </c>
      <c r="E35" s="0" t="n">
        <f aca="false">IFERROR(__xludf.dummyfunction("""COMPUTED_VALUE"""),11)</f>
        <v>11</v>
      </c>
      <c r="F35" s="7" t="str">
        <f aca="false">IFERROR(__xludf.dummyfunction("""COMPUTED_VALUE"""),"117")</f>
        <v>117</v>
      </c>
      <c r="H35" s="8" t="str">
        <f aca="false">IFERROR(__xludf.dummyfunction("""COMPUTED_VALUE"""),"vk.com/id189813664")</f>
        <v>vk.com/id189813664</v>
      </c>
      <c r="I35" s="0" t="str">
        <f aca="false">IFERROR(__xludf.dummyfunction("""COMPUTED_VALUE"""),"ilyabend@yandex.ru")</f>
        <v>ilyabend@yandex.ru</v>
      </c>
      <c r="J35" s="0" t="str">
        <f aca="false">IFERROR(__xludf.dummyfunction("""COMPUTED_VALUE"""),"Биоинформатика")</f>
        <v>Биоинформатика</v>
      </c>
      <c r="K35" s="0" t="str">
        <f aca="false">IFERROR(__xludf.dummyfunction("""COMPUTED_VALUE"""),"Физика(Шумаков)")</f>
        <v>Физика(Шумаков)</v>
      </c>
      <c r="L35" s="0" t="n">
        <f aca="false">IFERROR(__xludf.dummyfunction("""COMPUTED_VALUE"""),2)</f>
        <v>2</v>
      </c>
    </row>
    <row r="36" customFormat="false" ht="15.75" hidden="false" customHeight="false" outlineLevel="0" collapsed="false">
      <c r="B36" s="6" t="n">
        <f aca="false">IFERROR(__xludf.dummyfunction("""COMPUTED_VALUE"""),42887.5177134144)</f>
        <v>42887.51771</v>
      </c>
      <c r="C36" s="0" t="str">
        <f aca="false">IFERROR(__xludf.dummyfunction("""COMPUTED_VALUE"""),"Суров")</f>
        <v>Суров</v>
      </c>
      <c r="D36" s="0" t="str">
        <f aca="false">IFERROR(__xludf.dummyfunction("""COMPUTED_VALUE"""),"Матвей")</f>
        <v>Матвей</v>
      </c>
      <c r="E36" s="0" t="n">
        <f aca="false">IFERROR(__xludf.dummyfunction("""COMPUTED_VALUE"""),6)</f>
        <v>6</v>
      </c>
      <c r="F36" s="0" t="n">
        <f aca="false">IFERROR(__xludf.dummyfunction("""COMPUTED_VALUE"""),35)</f>
        <v>35</v>
      </c>
      <c r="H36" s="8" t="str">
        <f aca="false">IFERROR(__xludf.dummyfunction("""COMPUTED_VALUE"""),"vk.com/id411925471")</f>
        <v>vk.com/id411925471</v>
      </c>
      <c r="I36" s="0" t="str">
        <f aca="false">IFERROR(__xludf.dummyfunction("""COMPUTED_VALUE"""),"surova_kristina@inbox.ru")</f>
        <v>surova_kristina@inbox.ru</v>
      </c>
      <c r="J36" s="0" t="str">
        <f aca="false">IFERROR(__xludf.dummyfunction("""COMPUTED_VALUE"""),"Программирование(Шульга)")</f>
        <v>Программирование(Шульга)</v>
      </c>
      <c r="K36" s="0" t="str">
        <f aca="false">IFERROR(__xludf.dummyfunction("""COMPUTED_VALUE"""),"Биоинформатика")</f>
        <v>Биоинформатика</v>
      </c>
      <c r="L36" s="0" t="n">
        <f aca="false">IFERROR(__xludf.dummyfunction("""COMPUTED_VALUE"""),2)</f>
        <v>2</v>
      </c>
    </row>
    <row r="37" customFormat="false" ht="15.75" hidden="false" customHeight="false" outlineLevel="0" collapsed="false">
      <c r="B37" s="6" t="n">
        <f aca="false">IFERROR(__xludf.dummyfunction("""COMPUTED_VALUE"""),42888.7055555556)</f>
        <v>42888.70556</v>
      </c>
      <c r="C37" s="0" t="str">
        <f aca="false">IFERROR(__xludf.dummyfunction("""COMPUTED_VALUE"""),"Курбатова")</f>
        <v>Курбатова</v>
      </c>
      <c r="D37" s="0" t="str">
        <f aca="false">IFERROR(__xludf.dummyfunction("""COMPUTED_VALUE"""),"Анна")</f>
        <v>Анна</v>
      </c>
      <c r="E37" s="0" t="n">
        <f aca="false">IFERROR(__xludf.dummyfunction("""COMPUTED_VALUE"""),8)</f>
        <v>8</v>
      </c>
      <c r="F37" s="0" t="str">
        <f aca="false">IFERROR(__xludf.dummyfunction("""COMPUTED_VALUE"""),"БОУ СОШ 3")</f>
        <v>БОУ СОШ 3</v>
      </c>
      <c r="G37" s="0" t="str">
        <f aca="false">IFERROR(__xludf.dummyfunction("""COMPUTED_VALUE"""),"Вопрос с 09.07")</f>
        <v>Вопрос с 09.07</v>
      </c>
      <c r="H37" s="8" t="str">
        <f aca="false">IFERROR(__xludf.dummyfunction("""COMPUTED_VALUE"""),"vk.com/anna.kurbatova99")</f>
        <v>vk.com/anna.kurbatova99</v>
      </c>
      <c r="I37" s="0" t="str">
        <f aca="false">IFERROR(__xludf.dummyfunction("""COMPUTED_VALUE"""),"kea-sea@ya.ru")</f>
        <v>kea-sea@ya.ru</v>
      </c>
      <c r="J37" s="0" t="str">
        <f aca="false">IFERROR(__xludf.dummyfunction("""COMPUTED_VALUE"""),"Биоинформатика")</f>
        <v>Биоинформатика</v>
      </c>
      <c r="K37" s="0" t="str">
        <f aca="false">IFERROR(__xludf.dummyfunction("""COMPUTED_VALUE"""),"Физика(Шумаков)")</f>
        <v>Физика(Шумаков)</v>
      </c>
      <c r="L37" s="0" t="n">
        <f aca="false">IFERROR(__xludf.dummyfunction("""COMPUTED_VALUE"""),2)</f>
        <v>2</v>
      </c>
    </row>
    <row r="38" customFormat="false" ht="15.75" hidden="false" customHeight="false" outlineLevel="0" collapsed="false">
      <c r="B38" s="6" t="n">
        <f aca="false">IFERROR(__xludf.dummyfunction("""COMPUTED_VALUE"""),42896.4847222222)</f>
        <v>42896.48472</v>
      </c>
      <c r="C38" s="0" t="str">
        <f aca="false">IFERROR(__xludf.dummyfunction("""COMPUTED_VALUE"""),"Желдак")</f>
        <v>Желдак</v>
      </c>
      <c r="D38" s="0" t="str">
        <f aca="false">IFERROR(__xludf.dummyfunction("""COMPUTED_VALUE"""),"Леонид")</f>
        <v>Леонид</v>
      </c>
      <c r="E38" s="0" t="n">
        <f aca="false">IFERROR(__xludf.dummyfunction("""COMPUTED_VALUE"""),7)</f>
        <v>7</v>
      </c>
      <c r="F38" s="7" t="str">
        <f aca="false">IFERROR(__xludf.dummyfunction("""COMPUTED_VALUE"""),"117")</f>
        <v>117</v>
      </c>
      <c r="H38" s="8" t="str">
        <f aca="false">IFERROR(__xludf.dummyfunction("""COMPUTED_VALUE"""),"vk.com/lzheldak")</f>
        <v>vk.com/lzheldak</v>
      </c>
      <c r="I38" s="0" t="str">
        <f aca="false">IFERROR(__xludf.dummyfunction("""COMPUTED_VALUE"""),"leonid.zheldak@rambler.ru")</f>
        <v>leonid.zheldak@rambler.ru</v>
      </c>
      <c r="J38" s="0" t="str">
        <f aca="false">IFERROR(__xludf.dummyfunction("""COMPUTED_VALUE"""),"Программирование(Шульга)")</f>
        <v>Программирование(Шульга)</v>
      </c>
      <c r="K38" s="0" t="str">
        <f aca="false">IFERROR(__xludf.dummyfunction("""COMPUTED_VALUE"""),"Биоинформатика")</f>
        <v>Биоинформатика</v>
      </c>
      <c r="L38" s="0" t="n">
        <f aca="false">IFERROR(__xludf.dummyfunction("""COMPUTED_VALUE"""),2)</f>
        <v>2</v>
      </c>
    </row>
    <row r="39" customFormat="false" ht="15.75" hidden="false" customHeight="false" outlineLevel="0" collapsed="false">
      <c r="B39" s="24" t="n">
        <f aca="false">IFERROR(__xludf.dummyfunction("""COMPUTED_VALUE"""),42927.5416666667)</f>
        <v>42927.54167</v>
      </c>
      <c r="C39" s="0" t="str">
        <f aca="false">IFERROR(__xludf.dummyfunction("""COMPUTED_VALUE"""),"Павлова")</f>
        <v>Павлова</v>
      </c>
      <c r="D39" s="0" t="str">
        <f aca="false">IFERROR(__xludf.dummyfunction("""COMPUTED_VALUE"""),"Дарья")</f>
        <v>Дарья</v>
      </c>
      <c r="E39" s="0" t="n">
        <f aca="false">IFERROR(__xludf.dummyfunction("""COMPUTED_VALUE"""),7)</f>
        <v>7</v>
      </c>
      <c r="F39" s="7" t="str">
        <f aca="false">IFERROR(__xludf.dummyfunction("""COMPUTED_VALUE"""),"144")</f>
        <v>144</v>
      </c>
      <c r="K39" s="0" t="str">
        <f aca="false">IFERROR(__xludf.dummyfunction("""COMPUTED_VALUE"""),"Испанский")</f>
        <v>Испанский</v>
      </c>
      <c r="L39" s="0" t="n">
        <f aca="false">IFERROR(__xludf.dummyfunction("""COMPUTED_VALUE"""),2)</f>
        <v>2</v>
      </c>
    </row>
    <row r="40" customFormat="false" ht="15.75" hidden="false" customHeight="false" outlineLevel="0" collapsed="false">
      <c r="B40" s="24" t="n">
        <f aca="false">IFERROR(__xludf.dummyfunction("""COMPUTED_VALUE"""),42927.5416666667)</f>
        <v>42927.54167</v>
      </c>
      <c r="C40" s="0" t="str">
        <f aca="false">IFERROR(__xludf.dummyfunction("""COMPUTED_VALUE"""),"Уткина")</f>
        <v>Уткина</v>
      </c>
      <c r="D40" s="0" t="str">
        <f aca="false">IFERROR(__xludf.dummyfunction("""COMPUTED_VALUE"""),"Лиза")</f>
        <v>Лиза</v>
      </c>
      <c r="E40" s="0" t="n">
        <f aca="false">IFERROR(__xludf.dummyfunction("""COMPUTED_VALUE"""),7)</f>
        <v>7</v>
      </c>
      <c r="F40" s="7" t="str">
        <f aca="false">IFERROR(__xludf.dummyfunction("""COMPUTED_VALUE"""),"117")</f>
        <v>117</v>
      </c>
      <c r="J40" s="0" t="str">
        <f aca="false">IFERROR(__xludf.dummyfunction("""COMPUTED_VALUE"""),"Математика(Кудык)")</f>
        <v>Математика(Кудык)</v>
      </c>
      <c r="K40" s="0" t="str">
        <f aca="false">IFERROR(__xludf.dummyfunction("""COMPUTED_VALUE"""),"Испанский")</f>
        <v>Испанский</v>
      </c>
      <c r="L40" s="0" t="n">
        <f aca="false">IFERROR(__xludf.dummyfunction("""COMPUTED_VALUE"""),2)</f>
        <v>2</v>
      </c>
    </row>
    <row r="41" customFormat="false" ht="15.75" hidden="false" customHeight="false" outlineLevel="0" collapsed="false">
      <c r="F41" s="7"/>
      <c r="L41" s="0" t="n">
        <f aca="false">IFERROR(__xludf.dummyfunction("""COMPUTED_VALUE"""),2)</f>
        <v>2</v>
      </c>
    </row>
    <row r="42" customFormat="false" ht="15.75" hidden="false" customHeight="false" outlineLevel="0" collapsed="false">
      <c r="F42" s="7"/>
      <c r="L42" s="0" t="n">
        <f aca="false">IFERROR(__xludf.dummyfunction("""COMPUTED_VALUE"""),2)</f>
        <v>2</v>
      </c>
    </row>
    <row r="43" customFormat="false" ht="15.75" hidden="false" customHeight="false" outlineLevel="0" collapsed="false">
      <c r="F43" s="7"/>
      <c r="L43" s="0" t="n">
        <f aca="false">IFERROR(__xludf.dummyfunction("""COMPUTED_VALUE"""),2)</f>
        <v>2</v>
      </c>
    </row>
    <row r="44" customFormat="false" ht="15.75" hidden="false" customHeight="false" outlineLevel="0" collapsed="false">
      <c r="F44" s="7"/>
      <c r="L44" s="0" t="n">
        <f aca="false">IFERROR(__xludf.dummyfunction("""COMPUTED_VALUE"""),2)</f>
        <v>2</v>
      </c>
    </row>
    <row r="45" customFormat="false" ht="15.75" hidden="false" customHeight="false" outlineLevel="0" collapsed="false">
      <c r="F45" s="7"/>
      <c r="L45" s="0" t="n">
        <f aca="false">IFERROR(__xludf.dummyfunction("""COMPUTED_VALUE"""),2)</f>
        <v>2</v>
      </c>
    </row>
    <row r="46" customFormat="false" ht="15.75" hidden="false" customHeight="false" outlineLevel="0" collapsed="false">
      <c r="F46" s="7"/>
      <c r="L46" s="0" t="n">
        <f aca="false">IFERROR(__xludf.dummyfunction("""COMPUTED_VALUE"""),2)</f>
        <v>2</v>
      </c>
    </row>
    <row r="47" customFormat="false" ht="15.75" hidden="false" customHeight="false" outlineLevel="0" collapsed="false">
      <c r="F47" s="7"/>
      <c r="L47" s="0" t="n">
        <f aca="false">IFERROR(__xludf.dummyfunction("""COMPUTED_VALUE"""),2)</f>
        <v>2</v>
      </c>
    </row>
    <row r="48" customFormat="false" ht="15.75" hidden="false" customHeight="false" outlineLevel="0" collapsed="false">
      <c r="F48" s="7"/>
      <c r="L48" s="0" t="n">
        <f aca="false">IFERROR(__xludf.dummyfunction("""COMPUTED_VALUE"""),2)</f>
        <v>2</v>
      </c>
    </row>
    <row r="49" customFormat="false" ht="15.75" hidden="false" customHeight="false" outlineLevel="0" collapsed="false">
      <c r="F49" s="7"/>
    </row>
    <row r="50" customFormat="false" ht="15.75" hidden="false" customHeight="false" outlineLevel="0" collapsed="false">
      <c r="F50" s="7"/>
    </row>
    <row r="51" customFormat="false" ht="15.75" hidden="false" customHeight="false" outlineLevel="0" collapsed="false">
      <c r="F51" s="7"/>
    </row>
    <row r="52" customFormat="false" ht="15.75" hidden="false" customHeight="false" outlineLevel="0" collapsed="false">
      <c r="C52" s="0" t="str">
        <f aca="false">IFERROR(__xludf.dummyfunction("""COMPUTED_VALUE""")," ")</f>
        <v> </v>
      </c>
      <c r="F52" s="7"/>
    </row>
    <row r="53" customFormat="false" ht="15.75" hidden="false" customHeight="false" outlineLevel="0" collapsed="false">
      <c r="F53" s="7"/>
    </row>
    <row r="54" customFormat="false" ht="15.75" hidden="false" customHeight="false" outlineLevel="0" collapsed="false">
      <c r="F54" s="7"/>
    </row>
    <row r="55" customFormat="false" ht="15.75" hidden="false" customHeight="false" outlineLevel="0" collapsed="false">
      <c r="F55" s="7"/>
    </row>
    <row r="56" customFormat="false" ht="15.75" hidden="false" customHeight="false" outlineLevel="0" collapsed="false">
      <c r="F56" s="7"/>
    </row>
    <row r="57" customFormat="false" ht="15.75" hidden="false" customHeight="false" outlineLevel="0" collapsed="false">
      <c r="F57" s="7"/>
    </row>
    <row r="58" customFormat="false" ht="15.75" hidden="false" customHeight="false" outlineLevel="0" collapsed="false">
      <c r="F58" s="7"/>
    </row>
    <row r="59" customFormat="false" ht="15.75" hidden="false" customHeight="false" outlineLevel="0" collapsed="false">
      <c r="F59" s="7"/>
    </row>
  </sheetData>
  <dataValidations count="1">
    <dataValidation allowBlank="true" errorStyle="stop" operator="between" showDropDown="false" showErrorMessage="true" showInputMessage="false" sqref="A2" type="list">
      <formula1>'Переформатированный ответ'!$N$2:$N$11</formula1>
      <formula2>0</formula2>
    </dataValidation>
  </dataValidations>
  <hyperlinks>
    <hyperlink ref="H4" r:id="rId1" display="http://vk.com/id206813526"/>
    <hyperlink ref="H5" r:id="rId2" display="http://vk.com/id402259781"/>
    <hyperlink ref="H6" r:id="rId3" display="http://vk.com/juliya___z"/>
    <hyperlink ref="H7" r:id="rId4" display="http://vk.com/id166902078"/>
    <hyperlink ref="H8" r:id="rId5" display="http://vk.com/idiamolya"/>
    <hyperlink ref="H9" r:id="rId6" display="http://vk.com/id305699141"/>
    <hyperlink ref="H10" r:id="rId7" display="http://vk.com/lozhnikov_victor"/>
    <hyperlink ref="H11" r:id="rId8" display="http://vk.com/damaskyoutube"/>
    <hyperlink ref="H12" r:id="rId9" display="http://vk.com/anitastashevskaya"/>
    <hyperlink ref="H13" r:id="rId10" display="http://vk.com/zhenek1979"/>
    <hyperlink ref="H14" r:id="rId11" display="http://vk.com/alenushkaa_a"/>
    <hyperlink ref="H15" r:id="rId12" display="http://vk.com/shefat"/>
    <hyperlink ref="H16" r:id="rId13" display="http://vk.com/id183332969"/>
    <hyperlink ref="H17" r:id="rId14" display="http://vk.com/pkeltsev"/>
    <hyperlink ref="H18" r:id="rId15" display="http://vk.com/unfraid"/>
    <hyperlink ref="H19" r:id="rId16" display="http://vk.com/id157847345"/>
    <hyperlink ref="H20" r:id="rId17" display="http://vk.com/fogo_f"/>
    <hyperlink ref="H21" r:id="rId18" display="http://vk.com/id316784802"/>
    <hyperlink ref="H22" r:id="rId19" display="http://vk.com/ekweis"/>
    <hyperlink ref="H24" r:id="rId20" display="http://vk.com/agarbus2003"/>
    <hyperlink ref="H25" r:id="rId21" display="http://vk.com/svandrith"/>
    <hyperlink ref="H26" r:id="rId22" display="http://vk.com/id269312243"/>
    <hyperlink ref="H27" r:id="rId23" display="http://vk.com/id149548495"/>
    <hyperlink ref="H28" r:id="rId24" display="http://vk.com/id249818753"/>
    <hyperlink ref="H29" r:id="rId25" display="http://vk.com/sergey80401"/>
    <hyperlink ref="H30" r:id="rId26" display="http://vk.com/anna_dolgova2004"/>
    <hyperlink ref="H31" r:id="rId27" display="http://vk.com/id153731120"/>
    <hyperlink ref="H32" r:id="rId28" display="http://vk.com/grichkoedova"/>
    <hyperlink ref="H33" r:id="rId29" display="http://vk.com/id403901742"/>
    <hyperlink ref="H34" r:id="rId30" display="http://vk.com/aderkach2017"/>
    <hyperlink ref="H35" r:id="rId31" display="http://vk.com/id189813664"/>
    <hyperlink ref="H36" r:id="rId32" display="http://vk.com/id411925471"/>
    <hyperlink ref="H37" r:id="rId33" display="http://vk.com/anna.kurbatova99"/>
    <hyperlink ref="H38" r:id="rId34" display="http://vk.com/lzhelda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.75" zeroHeight="false" outlineLevelRow="0" outlineLevelCol="0"/>
  <cols>
    <col collapsed="false" customWidth="true" hidden="false" outlineLevel="0" max="8" min="8" style="0" width="10.86"/>
    <col collapsed="false" customWidth="true" hidden="false" outlineLevel="0" max="9" min="9" style="0" width="6.88"/>
    <col collapsed="false" customWidth="true" hidden="false" outlineLevel="0" max="10" min="10" style="0" width="22.57"/>
    <col collapsed="false" customWidth="true" hidden="false" outlineLevel="0" max="11" min="11" style="0" width="27.43"/>
    <col collapsed="false" customWidth="true" hidden="false" outlineLevel="0" max="14" min="14" style="0" width="30.02"/>
    <col collapsed="false" customWidth="true" hidden="false" outlineLevel="0" max="15" min="15" style="0" width="30.14"/>
  </cols>
  <sheetData>
    <row r="1" customFormat="false" ht="15.75" hidden="false" customHeight="false" outlineLevel="0" collapsed="false">
      <c r="A1" s="9" t="s">
        <v>0</v>
      </c>
      <c r="E1" s="2" t="s">
        <v>583</v>
      </c>
      <c r="N1" s="2" t="s">
        <v>584</v>
      </c>
    </row>
    <row r="2" customFormat="false" ht="15.75" hidden="false" customHeight="false" outlineLevel="0" collapsed="false">
      <c r="A2" s="10" t="s">
        <v>16</v>
      </c>
    </row>
    <row r="3" customFormat="false" ht="15.75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15</v>
      </c>
      <c r="I3" s="0" t="s">
        <v>10</v>
      </c>
      <c r="J3" s="4" t="s">
        <v>11</v>
      </c>
      <c r="K3" s="4" t="s">
        <v>12</v>
      </c>
      <c r="L3" s="4" t="s">
        <v>13</v>
      </c>
      <c r="N3" s="2" t="s">
        <v>585</v>
      </c>
      <c r="O3" s="2" t="s">
        <v>586</v>
      </c>
    </row>
    <row r="4" customFormat="false" ht="15.75" hidden="false" customHeight="false" outlineLevel="0" collapsed="false">
      <c r="A4" s="5"/>
      <c r="B4" s="6" t="n">
        <f aca="false">IFERROR(__xludf.dummyfunction("FILTER('Переформатированный ответ'!$A$2:$K$184,ARRAYFORMULA((('Переформатированный ответ'!$I$2:$I$184 = A2) + ('Переформатированный ответ'!$J$2:$J$184 = A2)&gt;0)+('Переформатированный ответ'!$K$2:$K$184 &gt;-1)+((COUNTIF($N$4:$O$13,'Переформатированный ответ'!"&amp;"$J$2:$J$184)=2) + ('Переформатированный ответ'!$J$2:$J$184="""")&gt;0)+((COUNTIF($N$4:$O$13,'Переформатированный ответ'!$I$2:$I$184)=2) + ('Переформатированный ответ'!$I$2:$I$184="""")&gt;0) = 4))"),42858.2451090046)</f>
        <v>42858.24511</v>
      </c>
      <c r="C4" s="0" t="str">
        <f aca="false">IFERROR(__xludf.dummyfunction("""COMPUTED_VALUE"""),"Затолоцкая ")</f>
        <v>Затолоцкая</v>
      </c>
      <c r="D4" s="0" t="str">
        <f aca="false">IFERROR(__xludf.dummyfunction("""COMPUTED_VALUE"""),"Юлия")</f>
        <v>Юлия</v>
      </c>
      <c r="E4" s="0" t="n">
        <f aca="false">IFERROR(__xludf.dummyfunction("""COMPUTED_VALUE"""),10)</f>
        <v>10</v>
      </c>
      <c r="F4" s="7" t="str">
        <f aca="false">IFERROR(__xludf.dummyfunction("""COMPUTED_VALUE"""),"СУНЦ НГУ")</f>
        <v>СУНЦ НГУ</v>
      </c>
      <c r="H4" s="8" t="str">
        <f aca="false">IFERROR(__xludf.dummyfunction("""COMPUTED_VALUE"""),"vk.com/juliya___z")</f>
        <v>vk.com/juliya___z</v>
      </c>
      <c r="I4" s="0" t="str">
        <f aca="false">IFERROR(__xludf.dummyfunction("""COMPUTED_VALUE"""),"Zatolockaya11@mail.ru ")</f>
        <v>Zatolockaya11@mail.ru</v>
      </c>
      <c r="J4" s="0" t="str">
        <f aca="false">IFERROR(__xludf.dummyfunction("""COMPUTED_VALUE"""),"Физика(Шумаков)")</f>
        <v>Физика(Шумаков)</v>
      </c>
      <c r="K4" s="0" t="str">
        <f aca="false">IFERROR(__xludf.dummyfunction("""COMPUTED_VALUE"""),"Программирование(Шульга)")</f>
        <v>Программирование(Шульга)</v>
      </c>
      <c r="L4" s="0" t="n">
        <f aca="false">IFERROR(__xludf.dummyfunction("""COMPUTED_VALUE"""),2)</f>
        <v>2</v>
      </c>
      <c r="N4" s="4" t="s">
        <v>20</v>
      </c>
      <c r="O4" s="4" t="s">
        <v>20</v>
      </c>
    </row>
    <row r="5" customFormat="false" ht="15.75" hidden="false" customHeight="false" outlineLevel="0" collapsed="false">
      <c r="B5" s="6" t="n">
        <f aca="false">IFERROR(__xludf.dummyfunction("""COMPUTED_VALUE"""),42858.7692120255)</f>
        <v>42858.76921</v>
      </c>
      <c r="C5" s="0" t="str">
        <f aca="false">IFERROR(__xludf.dummyfunction("""COMPUTED_VALUE"""),"Гриценко")</f>
        <v>Гриценко</v>
      </c>
      <c r="D5" s="0" t="str">
        <f aca="false">IFERROR(__xludf.dummyfunction("""COMPUTED_VALUE"""),"Ольга")</f>
        <v>Ольга</v>
      </c>
      <c r="E5" s="0" t="n">
        <f aca="false">IFERROR(__xludf.dummyfunction("""COMPUTED_VALUE"""),10)</f>
        <v>10</v>
      </c>
      <c r="F5" s="7" t="str">
        <f aca="false">IFERROR(__xludf.dummyfunction("""COMPUTED_VALUE"""),"БОУ ОО ""МОЦРО №117""")</f>
        <v>БОУ ОО "МОЦРО №117"</v>
      </c>
      <c r="H5" s="8" t="str">
        <f aca="false">IFERROR(__xludf.dummyfunction("""COMPUTED_VALUE"""),"vk.com/idiamolya")</f>
        <v>vk.com/idiamolya</v>
      </c>
      <c r="I5" s="0" t="str">
        <f aca="false">IFERROR(__xludf.dummyfunction("""COMPUTED_VALUE"""),"olya_00@bk.ru")</f>
        <v>olya_00@bk.ru</v>
      </c>
      <c r="J5" s="0" t="str">
        <f aca="false">IFERROR(__xludf.dummyfunction("""COMPUTED_VALUE"""),"Физика(Шумаков)")</f>
        <v>Физика(Шумаков)</v>
      </c>
      <c r="K5" s="0" t="str">
        <f aca="false">IFERROR(__xludf.dummyfunction("""COMPUTED_VALUE"""),"Математика(Кудык)")</f>
        <v>Математика(Кудык)</v>
      </c>
      <c r="L5" s="0" t="n">
        <f aca="false">IFERROR(__xludf.dummyfunction("""COMPUTED_VALUE"""),2)</f>
        <v>2</v>
      </c>
      <c r="N5" s="4" t="s">
        <v>16</v>
      </c>
      <c r="O5" s="4" t="s">
        <v>16</v>
      </c>
    </row>
    <row r="6" customFormat="false" ht="15.75" hidden="false" customHeight="false" outlineLevel="0" collapsed="false">
      <c r="B6" s="6" t="n">
        <f aca="false">IFERROR(__xludf.dummyfunction("""COMPUTED_VALUE"""),42863.3321471181)</f>
        <v>42863.33215</v>
      </c>
      <c r="C6" s="0" t="str">
        <f aca="false">IFERROR(__xludf.dummyfunction("""COMPUTED_VALUE"""),"Сташевская")</f>
        <v>Сташевская</v>
      </c>
      <c r="D6" s="0" t="str">
        <f aca="false">IFERROR(__xludf.dummyfunction("""COMPUTED_VALUE"""),"Анита")</f>
        <v>Анита</v>
      </c>
      <c r="E6" s="0" t="n">
        <f aca="false">IFERROR(__xludf.dummyfunction("""COMPUTED_VALUE"""),9)</f>
        <v>9</v>
      </c>
      <c r="F6" s="7" t="str">
        <f aca="false">IFERROR(__xludf.dummyfunction("""COMPUTED_VALUE"""),"Гимназия №84")</f>
        <v>Гимназия №84</v>
      </c>
      <c r="H6" s="8" t="str">
        <f aca="false">IFERROR(__xludf.dummyfunction("""COMPUTED_VALUE"""),"vk.com/anitastashevskaya")</f>
        <v>vk.com/anitastashevskaya</v>
      </c>
      <c r="I6" s="0" t="str">
        <f aca="false">IFERROR(__xludf.dummyfunction("""COMPUTED_VALUE"""),"anita.stashevskaya@mail.ru")</f>
        <v>anita.stashevskaya@mail.ru</v>
      </c>
      <c r="J6" s="0" t="str">
        <f aca="false">IFERROR(__xludf.dummyfunction("""COMPUTED_VALUE"""),"Физика(Шумаков)")</f>
        <v>Физика(Шумаков)</v>
      </c>
      <c r="K6" s="0" t="str">
        <f aca="false">IFERROR(__xludf.dummyfunction("""COMPUTED_VALUE"""),"Программирование(Шульга)")</f>
        <v>Программирование(Шульга)</v>
      </c>
      <c r="L6" s="0" t="n">
        <f aca="false">IFERROR(__xludf.dummyfunction("""COMPUTED_VALUE"""),2)</f>
        <v>2</v>
      </c>
      <c r="N6" s="4" t="s">
        <v>22</v>
      </c>
      <c r="O6" s="4" t="s">
        <v>22</v>
      </c>
    </row>
    <row r="7" customFormat="false" ht="15.75" hidden="false" customHeight="false" outlineLevel="0" collapsed="false">
      <c r="B7" s="6" t="n">
        <f aca="false">IFERROR(__xludf.dummyfunction("""COMPUTED_VALUE"""),42863.7634646065)</f>
        <v>42863.76346</v>
      </c>
      <c r="C7" s="0" t="str">
        <f aca="false">IFERROR(__xludf.dummyfunction("""COMPUTED_VALUE"""),"Турышев")</f>
        <v>Турышев</v>
      </c>
      <c r="D7" s="0" t="str">
        <f aca="false">IFERROR(__xludf.dummyfunction("""COMPUTED_VALUE"""),"Константин")</f>
        <v>Константин</v>
      </c>
      <c r="E7" s="0" t="n">
        <f aca="false">IFERROR(__xludf.dummyfunction("""COMPUTED_VALUE"""),10)</f>
        <v>10</v>
      </c>
      <c r="F7" s="7" t="str">
        <f aca="false">IFERROR(__xludf.dummyfunction("""COMPUTED_VALUE"""),"Лицей 64")</f>
        <v>Лицей 64</v>
      </c>
      <c r="H7" s="8" t="str">
        <f aca="false">IFERROR(__xludf.dummyfunction("""COMPUTED_VALUE"""),"vk.com/id281300280")</f>
        <v>vk.com/id281300280</v>
      </c>
      <c r="I7" s="0" t="str">
        <f aca="false">IFERROR(__xludf.dummyfunction("""COMPUTED_VALUE"""),"turyshev.konstantin@gmail.com")</f>
        <v>turyshev.konstantin@gmail.com</v>
      </c>
      <c r="J7" s="0" t="str">
        <f aca="false">IFERROR(__xludf.dummyfunction("""COMPUTED_VALUE"""),"Физика(Рутберг)")</f>
        <v>Физика(Рутберг)</v>
      </c>
      <c r="K7" s="0" t="str">
        <f aca="false">IFERROR(__xludf.dummyfunction("""COMPUTED_VALUE"""),"Физика(Шумаков)")</f>
        <v>Физика(Шумаков)</v>
      </c>
      <c r="L7" s="0" t="n">
        <f aca="false">IFERROR(__xludf.dummyfunction("""COMPUTED_VALUE"""),2)</f>
        <v>2</v>
      </c>
      <c r="N7" s="4" t="s">
        <v>24</v>
      </c>
      <c r="O7" s="4" t="s">
        <v>24</v>
      </c>
    </row>
    <row r="8" customFormat="false" ht="15.75" hidden="false" customHeight="false" outlineLevel="0" collapsed="false">
      <c r="B8" s="6" t="n">
        <f aca="false">IFERROR(__xludf.dummyfunction("""COMPUTED_VALUE"""),42864.3187935532)</f>
        <v>42864.31879</v>
      </c>
      <c r="C8" s="0" t="str">
        <f aca="false">IFERROR(__xludf.dummyfunction("""COMPUTED_VALUE"""),"Шевцов")</f>
        <v>Шевцов</v>
      </c>
      <c r="D8" s="0" t="str">
        <f aca="false">IFERROR(__xludf.dummyfunction("""COMPUTED_VALUE"""),"Владислав")</f>
        <v>Владислав</v>
      </c>
      <c r="E8" s="0" t="n">
        <f aca="false">IFERROR(__xludf.dummyfunction("""COMPUTED_VALUE"""),10)</f>
        <v>10</v>
      </c>
      <c r="F8" s="7" t="str">
        <f aca="false">IFERROR(__xludf.dummyfunction("""COMPUTED_VALUE"""),"Лицей 92")</f>
        <v>Лицей 92</v>
      </c>
      <c r="G8" s="0" t="str">
        <f aca="false">IFERROR(__xludf.dummyfunction("""COMPUTED_VALUE"""),"Возможно, могут быть обстоятельства,  по которым вынужден буду отказаться, но постараюсь предупредить заранее")</f>
        <v>Возможно, могут быть обстоятельства,  по которым вынужден буду отказаться, но постараюсь предупредить заранее</v>
      </c>
      <c r="H8" s="8" t="str">
        <f aca="false">IFERROR(__xludf.dummyfunction("""COMPUTED_VALUE"""),"vk.com/shefat")</f>
        <v>vk.com/shefat</v>
      </c>
      <c r="I8" s="0" t="str">
        <f aca="false">IFERROR(__xludf.dummyfunction("""COMPUTED_VALUE"""),"InEveryGoodShefat@gmail.com")</f>
        <v>InEveryGoodShefat@gmail.com</v>
      </c>
      <c r="J8" s="0" t="str">
        <f aca="false">IFERROR(__xludf.dummyfunction("""COMPUTED_VALUE"""),"Физика(Шумаков)")</f>
        <v>Физика(Шумаков)</v>
      </c>
      <c r="K8" s="0" t="str">
        <f aca="false">IFERROR(__xludf.dummyfunction("""COMPUTED_VALUE"""),"Математика(Кудык)")</f>
        <v>Математика(Кудык)</v>
      </c>
      <c r="L8" s="0" t="n">
        <f aca="false">IFERROR(__xludf.dummyfunction("""COMPUTED_VALUE"""),2)</f>
        <v>2</v>
      </c>
      <c r="N8" s="4" t="s">
        <v>2</v>
      </c>
      <c r="O8" s="4"/>
    </row>
    <row r="9" customFormat="false" ht="15.75" hidden="false" customHeight="false" outlineLevel="0" collapsed="false">
      <c r="B9" s="6" t="n">
        <f aca="false">IFERROR(__xludf.dummyfunction("""COMPUTED_VALUE"""),42872.7245034028)</f>
        <v>42872.7245</v>
      </c>
      <c r="C9" s="0" t="str">
        <f aca="false">IFERROR(__xludf.dummyfunction("""COMPUTED_VALUE"""),"Кушнарева")</f>
        <v>Кушнарева</v>
      </c>
      <c r="D9" s="0" t="str">
        <f aca="false">IFERROR(__xludf.dummyfunction("""COMPUTED_VALUE"""),"Анастасия")</f>
        <v>Анастасия</v>
      </c>
      <c r="E9" s="0" t="n">
        <f aca="false">IFERROR(__xludf.dummyfunction("""COMPUTED_VALUE"""),10)</f>
        <v>10</v>
      </c>
      <c r="F9" s="7" t="str">
        <f aca="false">IFERROR(__xludf.dummyfunction("""COMPUTED_VALUE"""),"гимназия 159")</f>
        <v>гимназия 159</v>
      </c>
      <c r="H9" s="8" t="str">
        <f aca="false">IFERROR(__xludf.dummyfunction("""COMPUTED_VALUE"""),"vk.com/akushnareva2000")</f>
        <v>vk.com/akushnareva2000</v>
      </c>
      <c r="I9" s="0" t="str">
        <f aca="false">IFERROR(__xludf.dummyfunction("""COMPUTED_VALUE"""),"anastasiakushnareva26@gmail.com")</f>
        <v>anastasiakushnareva26@gmail.com</v>
      </c>
      <c r="J9" s="0" t="str">
        <f aca="false">IFERROR(__xludf.dummyfunction("""COMPUTED_VALUE"""),"Физика(Рутберг)")</f>
        <v>Физика(Рутберг)</v>
      </c>
      <c r="K9" s="0" t="str">
        <f aca="false">IFERROR(__xludf.dummyfunction("""COMPUTED_VALUE"""),"Физика(Шумаков)")</f>
        <v>Физика(Шумаков)</v>
      </c>
      <c r="L9" s="0" t="n">
        <f aca="false">IFERROR(__xludf.dummyfunction("""COMPUTED_VALUE"""),2)</f>
        <v>2</v>
      </c>
      <c r="N9" s="4"/>
      <c r="O9" s="4" t="s">
        <v>25</v>
      </c>
    </row>
    <row r="10" customFormat="false" ht="15.75" hidden="false" customHeight="false" outlineLevel="0" collapsed="false">
      <c r="B10" s="6" t="n">
        <f aca="false">IFERROR(__xludf.dummyfunction("""COMPUTED_VALUE"""),42872.7721950579)</f>
        <v>42872.7722</v>
      </c>
      <c r="C10" s="0" t="str">
        <f aca="false">IFERROR(__xludf.dummyfunction("""COMPUTED_VALUE"""),"Артамонов")</f>
        <v>Артамонов</v>
      </c>
      <c r="D10" s="0" t="str">
        <f aca="false">IFERROR(__xludf.dummyfunction("""COMPUTED_VALUE"""),"Виктор")</f>
        <v>Виктор</v>
      </c>
      <c r="E10" s="0" t="n">
        <f aca="false">IFERROR(__xludf.dummyfunction("""COMPUTED_VALUE"""),9)</f>
        <v>9</v>
      </c>
      <c r="F10" s="7" t="str">
        <f aca="false">IFERROR(__xludf.dummyfunction("""COMPUTED_VALUE"""),"Гимназия № 140")</f>
        <v>Гимназия № 140</v>
      </c>
      <c r="H10" s="8" t="str">
        <f aca="false">IFERROR(__xludf.dummyfunction("""COMPUTED_VALUE"""),"vk.com/svandrith")</f>
        <v>vk.com/svandrith</v>
      </c>
      <c r="I10" s="0" t="str">
        <f aca="false">IFERROR(__xludf.dummyfunction("""COMPUTED_VALUE"""),"mr.viktorasov@mail.ru")</f>
        <v>mr.viktorasov@mail.ru</v>
      </c>
      <c r="J10" s="0" t="str">
        <f aca="false">IFERROR(__xludf.dummyfunction("""COMPUTED_VALUE"""),"Физика(Шумаков)")</f>
        <v>Физика(Шумаков)</v>
      </c>
      <c r="K10" s="0" t="str">
        <f aca="false">IFERROR(__xludf.dummyfunction("""COMPUTED_VALUE"""),"Программирование(Шульга)")</f>
        <v>Программирование(Шульга)</v>
      </c>
      <c r="L10" s="0" t="n">
        <f aca="false">IFERROR(__xludf.dummyfunction("""COMPUTED_VALUE"""),2)</f>
        <v>2</v>
      </c>
      <c r="N10" s="4"/>
      <c r="O10" s="4" t="s">
        <v>26</v>
      </c>
    </row>
    <row r="11" customFormat="false" ht="15.75" hidden="false" customHeight="false" outlineLevel="0" collapsed="false">
      <c r="B11" s="6" t="n">
        <f aca="false">IFERROR(__xludf.dummyfunction("""COMPUTED_VALUE"""),42873.6433293634)</f>
        <v>42873.64333</v>
      </c>
      <c r="C11" s="0" t="str">
        <f aca="false">IFERROR(__xludf.dummyfunction("""COMPUTED_VALUE"""),"Черноок")</f>
        <v>Черноок</v>
      </c>
      <c r="D11" s="0" t="str">
        <f aca="false">IFERROR(__xludf.dummyfunction("""COMPUTED_VALUE"""),"Егор ")</f>
        <v>Егор</v>
      </c>
      <c r="E11" s="0" t="n">
        <f aca="false">IFERROR(__xludf.dummyfunction("""COMPUTED_VALUE"""),10)</f>
        <v>10</v>
      </c>
      <c r="F11" s="7" t="str">
        <f aca="false">IFERROR(__xludf.dummyfunction("""COMPUTED_VALUE"""),"МОЦРО 117")</f>
        <v>МОЦРО 117</v>
      </c>
      <c r="H11" s="8" t="str">
        <f aca="false">IFERROR(__xludf.dummyfunction("""COMPUTED_VALUE"""),"vk.com/id149548495")</f>
        <v>vk.com/id149548495</v>
      </c>
      <c r="I11" s="0" t="str">
        <f aca="false">IFERROR(__xludf.dummyfunction("""COMPUTED_VALUE"""),"egor-chernook@mail.ru")</f>
        <v>egor-chernook@mail.ru</v>
      </c>
      <c r="J11" s="0" t="str">
        <f aca="false">IFERROR(__xludf.dummyfunction("""COMPUTED_VALUE"""),"Физика(Шумаков)")</f>
        <v>Физика(Шумаков)</v>
      </c>
      <c r="K11" s="0" t="str">
        <f aca="false">IFERROR(__xludf.dummyfunction("""COMPUTED_VALUE"""),"Программирование(Шульга)")</f>
        <v>Программирование(Шульга)</v>
      </c>
      <c r="L11" s="0" t="n">
        <f aca="false">IFERROR(__xludf.dummyfunction("""COMPUTED_VALUE"""),2)</f>
        <v>2</v>
      </c>
      <c r="N11" s="4" t="s">
        <v>27</v>
      </c>
      <c r="O11" s="4" t="s">
        <v>27</v>
      </c>
    </row>
    <row r="12" customFormat="false" ht="15.75" hidden="false" customHeight="false" outlineLevel="0" collapsed="false">
      <c r="B12" s="6" t="n">
        <f aca="false">IFERROR(__xludf.dummyfunction("""COMPUTED_VALUE"""),42886.7004684028)</f>
        <v>42886.70047</v>
      </c>
      <c r="C12" s="0" t="str">
        <f aca="false">IFERROR(__xludf.dummyfunction("""COMPUTED_VALUE"""),"Бендик ")</f>
        <v>Бендик</v>
      </c>
      <c r="D12" s="0" t="str">
        <f aca="false">IFERROR(__xludf.dummyfunction("""COMPUTED_VALUE"""),"Илья")</f>
        <v>Илья</v>
      </c>
      <c r="E12" s="0" t="n">
        <f aca="false">IFERROR(__xludf.dummyfunction("""COMPUTED_VALUE"""),11)</f>
        <v>11</v>
      </c>
      <c r="F12" s="7" t="str">
        <f aca="false">IFERROR(__xludf.dummyfunction("""COMPUTED_VALUE"""),"117")</f>
        <v>117</v>
      </c>
      <c r="H12" s="8" t="str">
        <f aca="false">IFERROR(__xludf.dummyfunction("""COMPUTED_VALUE"""),"vk.com/id189813664")</f>
        <v>vk.com/id189813664</v>
      </c>
      <c r="I12" s="0" t="str">
        <f aca="false">IFERROR(__xludf.dummyfunction("""COMPUTED_VALUE"""),"ilyabend@yandex.ru")</f>
        <v>ilyabend@yandex.ru</v>
      </c>
      <c r="J12" s="0" t="str">
        <f aca="false">IFERROR(__xludf.dummyfunction("""COMPUTED_VALUE"""),"Биоинформатика")</f>
        <v>Биоинформатика</v>
      </c>
      <c r="K12" s="0" t="str">
        <f aca="false">IFERROR(__xludf.dummyfunction("""COMPUTED_VALUE"""),"Физика(Шумаков)")</f>
        <v>Физика(Шумаков)</v>
      </c>
      <c r="L12" s="0" t="n">
        <f aca="false">IFERROR(__xludf.dummyfunction("""COMPUTED_VALUE"""),2)</f>
        <v>2</v>
      </c>
      <c r="N12" s="4" t="s">
        <v>29</v>
      </c>
      <c r="O12" s="4"/>
    </row>
    <row r="13" customFormat="false" ht="15.75" hidden="false" customHeight="false" outlineLevel="0" collapsed="false">
      <c r="B13" s="6" t="n">
        <f aca="false">IFERROR(__xludf.dummyfunction("""COMPUTED_VALUE"""),42888.7055555556)</f>
        <v>42888.70556</v>
      </c>
      <c r="C13" s="0" t="str">
        <f aca="false">IFERROR(__xludf.dummyfunction("""COMPUTED_VALUE"""),"Курбатова")</f>
        <v>Курбатова</v>
      </c>
      <c r="D13" s="0" t="str">
        <f aca="false">IFERROR(__xludf.dummyfunction("""COMPUTED_VALUE"""),"Анна")</f>
        <v>Анна</v>
      </c>
      <c r="E13" s="0" t="n">
        <f aca="false">IFERROR(__xludf.dummyfunction("""COMPUTED_VALUE"""),8)</f>
        <v>8</v>
      </c>
      <c r="F13" s="0" t="str">
        <f aca="false">IFERROR(__xludf.dummyfunction("""COMPUTED_VALUE"""),"БОУ СОШ 3")</f>
        <v>БОУ СОШ 3</v>
      </c>
      <c r="G13" s="0" t="str">
        <f aca="false">IFERROR(__xludf.dummyfunction("""COMPUTED_VALUE"""),"Вопрос с 09.07")</f>
        <v>Вопрос с 09.07</v>
      </c>
      <c r="H13" s="8" t="str">
        <f aca="false">IFERROR(__xludf.dummyfunction("""COMPUTED_VALUE"""),"vk.com/anna.kurbatova99")</f>
        <v>vk.com/anna.kurbatova99</v>
      </c>
      <c r="I13" s="0" t="str">
        <f aca="false">IFERROR(__xludf.dummyfunction("""COMPUTED_VALUE"""),"kea-sea@ya.ru")</f>
        <v>kea-sea@ya.ru</v>
      </c>
      <c r="J13" s="0" t="str">
        <f aca="false">IFERROR(__xludf.dummyfunction("""COMPUTED_VALUE"""),"Биоинформатика")</f>
        <v>Биоинформатика</v>
      </c>
      <c r="K13" s="0" t="str">
        <f aca="false">IFERROR(__xludf.dummyfunction("""COMPUTED_VALUE"""),"Физика(Шумаков)")</f>
        <v>Физика(Шумаков)</v>
      </c>
      <c r="L13" s="0" t="n">
        <f aca="false">IFERROR(__xludf.dummyfunction("""COMPUTED_VALUE"""),2)</f>
        <v>2</v>
      </c>
      <c r="N13" s="4" t="s">
        <v>30</v>
      </c>
      <c r="O13" s="4" t="s">
        <v>30</v>
      </c>
    </row>
    <row r="33" customFormat="false" ht="15.75" hidden="false" customHeight="false" outlineLevel="0" collapsed="false">
      <c r="A33" s="9" t="s">
        <v>0</v>
      </c>
      <c r="E33" s="2" t="s">
        <v>587</v>
      </c>
    </row>
    <row r="34" customFormat="false" ht="15.75" hidden="false" customHeight="false" outlineLevel="0" collapsed="false">
      <c r="A34" s="10" t="s">
        <v>24</v>
      </c>
    </row>
    <row r="35" customFormat="false" ht="15.75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F35" s="0" t="s">
        <v>7</v>
      </c>
      <c r="G35" s="0" t="s">
        <v>8</v>
      </c>
      <c r="H35" s="0" t="s">
        <v>15</v>
      </c>
      <c r="I35" s="0" t="s">
        <v>10</v>
      </c>
      <c r="J35" s="4" t="s">
        <v>11</v>
      </c>
      <c r="K35" s="4" t="s">
        <v>12</v>
      </c>
      <c r="L35" s="4" t="s">
        <v>13</v>
      </c>
    </row>
    <row r="36" customFormat="false" ht="15.75" hidden="false" customHeight="false" outlineLevel="0" collapsed="false">
      <c r="A36" s="5"/>
      <c r="B36" s="6" t="n">
        <f aca="false">IFERROR(__xludf.dummyfunction("FILTER('Переформатированный ответ'!$A$2:$K$184,ARRAYFORMULA((('Переформатированный ответ'!$I$2:$I$184 = A34) + ('Переформатированный ответ'!$J$2:$J$184 = A34)&gt;0)+('Переформатированный ответ'!$K$2:$K$184 &gt;-1)+(((COUNTIF($N$4:$O$13,'Переформатированный отве"&amp;"т'!$J$2:$J$184)=2) + ('Переформатированный ответ'!$J$2:$J$184="""")=0)+((COUNTIF($N$4:$O$13,'Переформатированный ответ'!$I$2:$I$184)=2) + ('Переформатированный ответ'!$I$2:$I$184="""")=0) &gt; 0)+(COUNTIF($N$4:$N$13,A34)=1)+((('Переформатированный ответ'!$J$"&amp;"2:$J$184 = A34)+(COUNTIF($O$4:$O$13,'Переформатированный ответ'!$I$2:$I$184)=1)=2)+(('Переформатированный ответ'!$I$2:$I$184 = A34)+(COUNTIF($O$4:$O$13,'Переформатированный ответ'!$J$2:$J$184)=1)=2)&gt;0) =5))"),42864.5495158102)</f>
        <v>42864.54952</v>
      </c>
      <c r="C36" s="0" t="str">
        <f aca="false">IFERROR(__xludf.dummyfunction("""COMPUTED_VALUE"""),"Задворнов")</f>
        <v>Задворнов</v>
      </c>
      <c r="D36" s="0" t="str">
        <f aca="false">IFERROR(__xludf.dummyfunction("""COMPUTED_VALUE"""),"Вячеслав")</f>
        <v>Вячеслав</v>
      </c>
      <c r="E36" s="0" t="n">
        <f aca="false">IFERROR(__xludf.dummyfunction("""COMPUTED_VALUE"""),10)</f>
        <v>10</v>
      </c>
      <c r="F36" s="7" t="str">
        <f aca="false">IFERROR(__xludf.dummyfunction("""COMPUTED_VALUE"""),"34")</f>
        <v>34</v>
      </c>
      <c r="H36" s="8" t="str">
        <f aca="false">IFERROR(__xludf.dummyfunction("""COMPUTED_VALUE"""),"vk.com/id209670944")</f>
        <v>vk.com/id209670944</v>
      </c>
      <c r="I36" s="0" t="str">
        <f aca="false">IFERROR(__xludf.dummyfunction("""COMPUTED_VALUE"""),"takov_08@mail.ru")</f>
        <v>takov_08@mail.ru</v>
      </c>
      <c r="J36" s="0" t="str">
        <f aca="false">IFERROR(__xludf.dummyfunction("""COMPUTED_VALUE"""),"Математика(Кудык)")</f>
        <v>Математика(Кудык)</v>
      </c>
      <c r="K36" s="0" t="str">
        <f aca="false">IFERROR(__xludf.dummyfunction("""COMPUTED_VALUE"""),"Математика(Строженко)")</f>
        <v>Математика(Строженко)</v>
      </c>
      <c r="L36" s="0" t="n">
        <f aca="false">IFERROR(__xludf.dummyfunction("""COMPUTED_VALUE"""),2)</f>
        <v>2</v>
      </c>
    </row>
    <row r="37" customFormat="false" ht="15.75" hidden="false" customHeight="false" outlineLevel="0" collapsed="false">
      <c r="B37" s="6" t="n">
        <f aca="false">IFERROR(__xludf.dummyfunction("""COMPUTED_VALUE"""),42872.6856607755)</f>
        <v>42872.68566</v>
      </c>
      <c r="C37" s="0" t="str">
        <f aca="false">IFERROR(__xludf.dummyfunction("""COMPUTED_VALUE"""),"Аркушенко")</f>
        <v>Аркушенко</v>
      </c>
      <c r="D37" s="0" t="str">
        <f aca="false">IFERROR(__xludf.dummyfunction("""COMPUTED_VALUE"""),"Максим")</f>
        <v>Максим</v>
      </c>
      <c r="E37" s="0" t="n">
        <f aca="false">IFERROR(__xludf.dummyfunction("""COMPUTED_VALUE"""),7)</f>
        <v>7</v>
      </c>
      <c r="F37" s="7" t="str">
        <f aca="false">IFERROR(__xludf.dummyfunction("""COMPUTED_VALUE"""),"МОЦРО 117 ")</f>
        <v>МОЦРО 117</v>
      </c>
      <c r="H37" s="8" t="str">
        <f aca="false">IFERROR(__xludf.dummyfunction("""COMPUTED_VALUE"""),"vk.com/m.arkushenko")</f>
        <v>vk.com/m.arkushenko</v>
      </c>
      <c r="I37" s="0" t="str">
        <f aca="false">IFERROR(__xludf.dummyfunction("""COMPUTED_VALUE"""),"t001@inbox.ru")</f>
        <v>t001@inbox.ru</v>
      </c>
      <c r="J37" s="0" t="str">
        <f aca="false">IFERROR(__xludf.dummyfunction("""COMPUTED_VALUE"""),"Математика(Кудык)")</f>
        <v>Математика(Кудык)</v>
      </c>
      <c r="K37" s="0" t="str">
        <f aca="false">IFERROR(__xludf.dummyfunction("""COMPUTED_VALUE"""),"Экономика")</f>
        <v>Экономика</v>
      </c>
      <c r="L37" s="0" t="n">
        <f aca="false">IFERROR(__xludf.dummyfunction("""COMPUTED_VALUE"""),2)</f>
        <v>2</v>
      </c>
    </row>
    <row r="67" customFormat="false" ht="15.75" hidden="false" customHeight="false" outlineLevel="0" collapsed="false">
      <c r="A67" s="9" t="s">
        <v>0</v>
      </c>
      <c r="E67" s="2" t="s">
        <v>588</v>
      </c>
    </row>
    <row r="68" customFormat="false" ht="15.75" hidden="false" customHeight="false" outlineLevel="0" collapsed="false">
      <c r="A68" s="10" t="s">
        <v>26</v>
      </c>
    </row>
    <row r="69" customFormat="false" ht="15.75" hidden="false" customHeight="false" outlineLevel="0" collapsed="false">
      <c r="B69" s="0" t="s">
        <v>3</v>
      </c>
      <c r="C69" s="0" t="s">
        <v>4</v>
      </c>
      <c r="D69" s="0" t="s">
        <v>5</v>
      </c>
      <c r="E69" s="0" t="s">
        <v>6</v>
      </c>
      <c r="F69" s="0" t="s">
        <v>7</v>
      </c>
      <c r="G69" s="0" t="s">
        <v>8</v>
      </c>
      <c r="H69" s="0" t="s">
        <v>15</v>
      </c>
      <c r="I69" s="0" t="s">
        <v>10</v>
      </c>
      <c r="J69" s="4" t="s">
        <v>11</v>
      </c>
      <c r="K69" s="4" t="s">
        <v>12</v>
      </c>
      <c r="L69" s="4" t="s">
        <v>13</v>
      </c>
    </row>
    <row r="70" customFormat="false" ht="15.75" hidden="false" customHeight="false" outlineLevel="0" collapsed="false">
      <c r="A70" s="5"/>
      <c r="B70" s="6" t="n">
        <f aca="false">IFERROR(__xludf.dummyfunction("FILTER('Переформатированный ответ'!$A$2:$K$184,ARRAYFORMULA((('Переформатированный ответ'!$I$2:$I$184 = A68) + ('Переформатированный ответ'!$J$2:$J$184 = A68)&gt;0)+('Переформатированный ответ'!$K$2:$K$184 &gt;-1)+(((COUNTIF($N$4:$O$13,'Переформатированный отве"&amp;"т'!$J$2:$J$184)=2) + ('Переформатированный ответ'!$J$2:$J$184="""")=0)+((COUNTIF($N$4:$O$13,'Переформатированный ответ'!$I$2:$I$184)=2) + ('Переформатированный ответ'!$I$2:$I$184="""")=0) &gt; 0)+(COUNTIF($O$4:$O$13,A68)=1)+((('Переформатированный ответ'!$J$"&amp;"2:$J$184 = A68)+(COUNTIF($N$4:$N$13,'Переформатированный ответ'!$I$2:$I$184)=1)=2)+(('Переформатированный ответ'!$I$2:$I$184 = A68)+(COUNTIF($N$4:$N$13,'Переформатированный ответ'!$J$2:$J$184)=1)=2)&gt;0) =5))"),42857.7073874653)</f>
        <v>42857.70739</v>
      </c>
      <c r="C70" s="0" t="str">
        <f aca="false">IFERROR(__xludf.dummyfunction("""COMPUTED_VALUE"""),"Тулинская")</f>
        <v>Тулинская</v>
      </c>
      <c r="D70" s="0" t="str">
        <f aca="false">IFERROR(__xludf.dummyfunction("""COMPUTED_VALUE"""),"Джессика")</f>
        <v>Джессика</v>
      </c>
      <c r="E70" s="0" t="n">
        <f aca="false">IFERROR(__xludf.dummyfunction("""COMPUTED_VALUE"""),10)</f>
        <v>10</v>
      </c>
      <c r="F70" s="7" t="str">
        <f aca="false">IFERROR(__xludf.dummyfunction("""COMPUTED_VALUE"""),"Лицей 54")</f>
        <v>Лицей 54</v>
      </c>
      <c r="H70" s="8" t="str">
        <f aca="false">IFERROR(__xludf.dummyfunction("""COMPUTED_VALUE"""),"vk.com/jess41359473")</f>
        <v>vk.com/jess41359473</v>
      </c>
      <c r="I70" s="0" t="str">
        <f aca="false">IFERROR(__xludf.dummyfunction("""COMPUTED_VALUE"""),"aprelka_25@mail.ru")</f>
        <v>aprelka_25@mail.ru</v>
      </c>
      <c r="J70" s="0" t="str">
        <f aca="false">IFERROR(__xludf.dummyfunction("""COMPUTED_VALUE"""),"Испанский")</f>
        <v>Испанский</v>
      </c>
      <c r="K70" s="0" t="str">
        <f aca="false">IFERROR(__xludf.dummyfunction("""COMPUTED_VALUE"""),"Экономика")</f>
        <v>Экономика</v>
      </c>
      <c r="L70" s="0" t="n">
        <f aca="false">IFERROR(__xludf.dummyfunction("""COMPUTED_VALUE"""),2)</f>
        <v>2</v>
      </c>
    </row>
    <row r="71" customFormat="false" ht="15.75" hidden="false" customHeight="false" outlineLevel="0" collapsed="false">
      <c r="B71" s="6" t="n">
        <f aca="false">IFERROR(__xludf.dummyfunction("""COMPUTED_VALUE"""),42857.9381785069)</f>
        <v>42857.93818</v>
      </c>
      <c r="C71" s="0" t="str">
        <f aca="false">IFERROR(__xludf.dummyfunction("""COMPUTED_VALUE"""),"Лазарев")</f>
        <v>Лазарев</v>
      </c>
      <c r="D71" s="0" t="str">
        <f aca="false">IFERROR(__xludf.dummyfunction("""COMPUTED_VALUE"""),"Анатолий")</f>
        <v>Анатолий</v>
      </c>
      <c r="E71" s="0" t="n">
        <f aca="false">IFERROR(__xludf.dummyfunction("""COMPUTED_VALUE"""),9)</f>
        <v>9</v>
      </c>
      <c r="F71" s="7" t="str">
        <f aca="false">IFERROR(__xludf.dummyfunction("""COMPUTED_VALUE"""),"116")</f>
        <v>116</v>
      </c>
      <c r="H71" s="8" t="str">
        <f aca="false">IFERROR(__xludf.dummyfunction("""COMPUTED_VALUE"""),"vk.com/tillid")</f>
        <v>vk.com/tillid</v>
      </c>
      <c r="I71" s="0" t="str">
        <f aca="false">IFERROR(__xludf.dummyfunction("""COMPUTED_VALUE"""),"lazarevl2001@gmail.com")</f>
        <v>lazarevl2001@gmail.com</v>
      </c>
      <c r="J71" s="0" t="str">
        <f aca="false">IFERROR(__xludf.dummyfunction("""COMPUTED_VALUE"""),"Физика(Шумаков)")</f>
        <v>Физика(Шумаков)</v>
      </c>
      <c r="K71" s="0" t="str">
        <f aca="false">IFERROR(__xludf.dummyfunction("""COMPUTED_VALUE"""),"Экономика")</f>
        <v>Экономика</v>
      </c>
      <c r="L71" s="0" t="n">
        <f aca="false">IFERROR(__xludf.dummyfunction("""COMPUTED_VALUE"""),1)</f>
        <v>1</v>
      </c>
    </row>
    <row r="72" customFormat="false" ht="15.75" hidden="false" customHeight="false" outlineLevel="0" collapsed="false">
      <c r="B72" s="6" t="n">
        <f aca="false">IFERROR(__xludf.dummyfunction("""COMPUTED_VALUE"""),42858.852775463)</f>
        <v>42858.85278</v>
      </c>
      <c r="C72" s="0" t="str">
        <f aca="false">IFERROR(__xludf.dummyfunction("""COMPUTED_VALUE"""),"Подворная ")</f>
        <v>Подворная</v>
      </c>
      <c r="D72" s="0" t="str">
        <f aca="false">IFERROR(__xludf.dummyfunction("""COMPUTED_VALUE"""),"Елизавета ")</f>
        <v>Елизавета</v>
      </c>
      <c r="E72" s="0" t="n">
        <f aca="false">IFERROR(__xludf.dummyfunction("""COMPUTED_VALUE"""),10)</f>
        <v>10</v>
      </c>
      <c r="F72" s="7" t="str">
        <f aca="false">IFERROR(__xludf.dummyfunction("""COMPUTED_VALUE"""),"117")</f>
        <v>117</v>
      </c>
      <c r="H72" s="8" t="str">
        <f aca="false">IFERROR(__xludf.dummyfunction("""COMPUTED_VALUE"""),"vk.com/liza06082000")</f>
        <v>vk.com/liza06082000</v>
      </c>
      <c r="I72" s="0" t="str">
        <f aca="false">IFERROR(__xludf.dummyfunction("""COMPUTED_VALUE"""),"06082000@mail.ru")</f>
        <v>06082000@mail.ru</v>
      </c>
      <c r="J72" s="0" t="str">
        <f aca="false">IFERROR(__xludf.dummyfunction("""COMPUTED_VALUE"""),"Биоинформатика")</f>
        <v>Биоинформатика</v>
      </c>
      <c r="K72" s="0" t="str">
        <f aca="false">IFERROR(__xludf.dummyfunction("""COMPUTED_VALUE"""),"Экономика")</f>
        <v>Экономика</v>
      </c>
      <c r="L72" s="0" t="n">
        <f aca="false">IFERROR(__xludf.dummyfunction("""COMPUTED_VALUE"""),2)</f>
        <v>2</v>
      </c>
    </row>
    <row r="73" customFormat="false" ht="15.75" hidden="false" customHeight="false" outlineLevel="0" collapsed="false">
      <c r="B73" s="6" t="n">
        <f aca="false">IFERROR(__xludf.dummyfunction("""COMPUTED_VALUE"""),42863.7729758449)</f>
        <v>42863.77298</v>
      </c>
      <c r="C73" s="0" t="str">
        <f aca="false">IFERROR(__xludf.dummyfunction("""COMPUTED_VALUE"""),"Кучин ")</f>
        <v>Кучин</v>
      </c>
      <c r="D73" s="0" t="str">
        <f aca="false">IFERROR(__xludf.dummyfunction("""COMPUTED_VALUE"""),"Роман ")</f>
        <v>Роман</v>
      </c>
      <c r="E73" s="0" t="n">
        <f aca="false">IFERROR(__xludf.dummyfunction("""COMPUTED_VALUE"""),9)</f>
        <v>9</v>
      </c>
      <c r="F73" s="7" t="str">
        <f aca="false">IFERROR(__xludf.dummyfunction("""COMPUTED_VALUE"""),"БОУ МОЦРО 117 ")</f>
        <v>БОУ МОЦРО 117</v>
      </c>
      <c r="G73" s="0" t="str">
        <f aca="false">IFERROR(__xludf.dummyfunction("""COMPUTED_VALUE"""),"Готов трудиться день и ночь ")</f>
        <v>Готов трудиться день и ночь</v>
      </c>
      <c r="H73" s="0" t="str">
        <f aca="false">IFERROR(__xludf.dummyfunction("""COMPUTED_VALUE"""),"не умеет пользоваться")</f>
        <v>не умеет пользоваться</v>
      </c>
      <c r="I73" s="0" t="str">
        <f aca="false">IFERROR(__xludf.dummyfunction("""COMPUTED_VALUE"""),"kuchin_ov@mail.ru ")</f>
        <v>kuchin_ov@mail.ru</v>
      </c>
      <c r="J73" s="0" t="str">
        <f aca="false">IFERROR(__xludf.dummyfunction("""COMPUTED_VALUE"""),"Право")</f>
        <v>Право</v>
      </c>
      <c r="K73" s="0" t="str">
        <f aca="false">IFERROR(__xludf.dummyfunction("""COMPUTED_VALUE"""),"Экономика")</f>
        <v>Экономика</v>
      </c>
      <c r="L73" s="0" t="n">
        <f aca="false">IFERROR(__xludf.dummyfunction("""COMPUTED_VALUE"""),1)</f>
        <v>1</v>
      </c>
    </row>
    <row r="74" customFormat="false" ht="15.75" hidden="false" customHeight="false" outlineLevel="0" collapsed="false">
      <c r="B74" s="6" t="n">
        <f aca="false">IFERROR(__xludf.dummyfunction("""COMPUTED_VALUE"""),42863.889486169)</f>
        <v>42863.88949</v>
      </c>
      <c r="C74" s="0" t="str">
        <f aca="false">IFERROR(__xludf.dummyfunction("""COMPUTED_VALUE"""),"Суднев")</f>
        <v>Суднев</v>
      </c>
      <c r="D74" s="0" t="str">
        <f aca="false">IFERROR(__xludf.dummyfunction("""COMPUTED_VALUE"""),"Владимир")</f>
        <v>Владимир</v>
      </c>
      <c r="E74" s="0" t="n">
        <f aca="false">IFERROR(__xludf.dummyfunction("""COMPUTED_VALUE"""),9)</f>
        <v>9</v>
      </c>
      <c r="F74" s="7" t="str">
        <f aca="false">IFERROR(__xludf.dummyfunction("""COMPUTED_VALUE"""),"149")</f>
        <v>149</v>
      </c>
      <c r="H74" s="8" t="str">
        <f aca="false">IFERROR(__xludf.dummyfunction("""COMPUTED_VALUE"""),"vk.com/dref55")</f>
        <v>vk.com/dref55</v>
      </c>
      <c r="I74" s="0" t="str">
        <f aca="false">IFERROR(__xludf.dummyfunction("""COMPUTED_VALUE"""),"ferstly@yandex.ru")</f>
        <v>ferstly@yandex.ru</v>
      </c>
      <c r="J74" s="0" t="str">
        <f aca="false">IFERROR(__xludf.dummyfunction("""COMPUTED_VALUE"""),"Физика(Рутберг)")</f>
        <v>Физика(Рутберг)</v>
      </c>
      <c r="K74" s="0" t="str">
        <f aca="false">IFERROR(__xludf.dummyfunction("""COMPUTED_VALUE"""),"Экономика")</f>
        <v>Экономика</v>
      </c>
      <c r="L74" s="0" t="n">
        <f aca="false">IFERROR(__xludf.dummyfunction("""COMPUTED_VALUE"""),2)</f>
        <v>2</v>
      </c>
    </row>
    <row r="75" customFormat="false" ht="15.75" hidden="false" customHeight="false" outlineLevel="0" collapsed="false">
      <c r="B75" s="6" t="n">
        <f aca="false">IFERROR(__xludf.dummyfunction("""COMPUTED_VALUE"""),42865.2329080208)</f>
        <v>42865.23291</v>
      </c>
      <c r="C75" s="0" t="str">
        <f aca="false">IFERROR(__xludf.dummyfunction("""COMPUTED_VALUE"""),"Вяземский ")</f>
        <v>Вяземский</v>
      </c>
      <c r="D75" s="0" t="str">
        <f aca="false">IFERROR(__xludf.dummyfunction("""COMPUTED_VALUE"""),"Ян")</f>
        <v>Ян</v>
      </c>
      <c r="E75" s="0" t="n">
        <f aca="false">IFERROR(__xludf.dummyfunction("""COMPUTED_VALUE"""),10)</f>
        <v>10</v>
      </c>
      <c r="F75" s="7" t="str">
        <f aca="false">IFERROR(__xludf.dummyfunction("""COMPUTED_VALUE"""),"Лицей 64")</f>
        <v>Лицей 64</v>
      </c>
      <c r="H75" s="8" t="str">
        <f aca="false">IFERROR(__xludf.dummyfunction("""COMPUTED_VALUE"""),"vk.com/yan_vyazem")</f>
        <v>vk.com/yan_vyazem</v>
      </c>
      <c r="I75" s="0" t="str">
        <f aca="false">IFERROR(__xludf.dummyfunction("""COMPUTED_VALUE"""),"yan.vyazemskiy@mail.ru")</f>
        <v>yan.vyazemskiy@mail.ru</v>
      </c>
      <c r="J75" s="0" t="str">
        <f aca="false">IFERROR(__xludf.dummyfunction("""COMPUTED_VALUE"""),"Право")</f>
        <v>Право</v>
      </c>
      <c r="K75" s="0" t="str">
        <f aca="false">IFERROR(__xludf.dummyfunction("""COMPUTED_VALUE"""),"Экономика")</f>
        <v>Экономика</v>
      </c>
      <c r="L75" s="0" t="n">
        <f aca="false">IFERROR(__xludf.dummyfunction("""COMPUTED_VALUE"""),2)</f>
        <v>2</v>
      </c>
    </row>
    <row r="76" customFormat="false" ht="15.75" hidden="false" customHeight="false" outlineLevel="0" collapsed="false">
      <c r="B76" s="6" t="n">
        <f aca="false">IFERROR(__xludf.dummyfunction("""COMPUTED_VALUE"""),42866.8672605671)</f>
        <v>42866.86726</v>
      </c>
      <c r="C76" s="0" t="str">
        <f aca="false">IFERROR(__xludf.dummyfunction("""COMPUTED_VALUE"""),"Рябцев")</f>
        <v>Рябцев</v>
      </c>
      <c r="D76" s="0" t="str">
        <f aca="false">IFERROR(__xludf.dummyfunction("""COMPUTED_VALUE"""),"Данил")</f>
        <v>Данил</v>
      </c>
      <c r="E76" s="0" t="n">
        <f aca="false">IFERROR(__xludf.dummyfunction("""COMPUTED_VALUE"""),10)</f>
        <v>10</v>
      </c>
      <c r="F76" s="7" t="str">
        <f aca="false">IFERROR(__xludf.dummyfunction("""COMPUTED_VALUE"""),"Гимназия №19")</f>
        <v>Гимназия №19</v>
      </c>
      <c r="G76" s="0" t="str">
        <f aca="false">IFERROR(__xludf.dummyfunction("""COMPUTED_VALUE"""),"Хочу участвовать с самого начала весь учебный день.")</f>
        <v>Хочу участвовать с самого начала весь учебный день.</v>
      </c>
      <c r="H76" s="8" t="str">
        <f aca="false">IFERROR(__xludf.dummyfunction("""COMPUTED_VALUE"""),"vk.com/danil.ryabtsev")</f>
        <v>vk.com/danil.ryabtsev</v>
      </c>
      <c r="I76" s="0" t="str">
        <f aca="false">IFERROR(__xludf.dummyfunction("""COMPUTED_VALUE"""),"idanny.ry@gmail.com")</f>
        <v>idanny.ry@gmail.com</v>
      </c>
      <c r="J76" s="0" t="str">
        <f aca="false">IFERROR(__xludf.dummyfunction("""COMPUTED_VALUE"""),"Право")</f>
        <v>Право</v>
      </c>
      <c r="K76" s="0" t="str">
        <f aca="false">IFERROR(__xludf.dummyfunction("""COMPUTED_VALUE"""),"Экономика")</f>
        <v>Экономика</v>
      </c>
      <c r="L76" s="0" t="n">
        <f aca="false">IFERROR(__xludf.dummyfunction("""COMPUTED_VALUE"""),2)</f>
        <v>2</v>
      </c>
    </row>
    <row r="77" customFormat="false" ht="15.75" hidden="false" customHeight="false" outlineLevel="0" collapsed="false">
      <c r="B77" s="6" t="n">
        <f aca="false">IFERROR(__xludf.dummyfunction("""COMPUTED_VALUE"""),42872.6856607755)</f>
        <v>42872.68566</v>
      </c>
      <c r="C77" s="0" t="str">
        <f aca="false">IFERROR(__xludf.dummyfunction("""COMPUTED_VALUE"""),"Аркушенко")</f>
        <v>Аркушенко</v>
      </c>
      <c r="D77" s="0" t="str">
        <f aca="false">IFERROR(__xludf.dummyfunction("""COMPUTED_VALUE"""),"Максим")</f>
        <v>Максим</v>
      </c>
      <c r="E77" s="0" t="n">
        <f aca="false">IFERROR(__xludf.dummyfunction("""COMPUTED_VALUE"""),7)</f>
        <v>7</v>
      </c>
      <c r="F77" s="7" t="str">
        <f aca="false">IFERROR(__xludf.dummyfunction("""COMPUTED_VALUE"""),"МОЦРО 117 ")</f>
        <v>МОЦРО 117</v>
      </c>
      <c r="H77" s="8" t="str">
        <f aca="false">IFERROR(__xludf.dummyfunction("""COMPUTED_VALUE"""),"vk.com/m.arkushenko")</f>
        <v>vk.com/m.arkushenko</v>
      </c>
      <c r="I77" s="0" t="str">
        <f aca="false">IFERROR(__xludf.dummyfunction("""COMPUTED_VALUE"""),"t001@inbox.ru")</f>
        <v>t001@inbox.ru</v>
      </c>
      <c r="J77" s="0" t="str">
        <f aca="false">IFERROR(__xludf.dummyfunction("""COMPUTED_VALUE"""),"Математика(Кудык)")</f>
        <v>Математика(Кудык)</v>
      </c>
      <c r="K77" s="0" t="str">
        <f aca="false">IFERROR(__xludf.dummyfunction("""COMPUTED_VALUE"""),"Экономика")</f>
        <v>Экономика</v>
      </c>
      <c r="L77" s="0" t="n">
        <f aca="false">IFERROR(__xludf.dummyfunction("""COMPUTED_VALUE"""),2)</f>
        <v>2</v>
      </c>
    </row>
    <row r="78" customFormat="false" ht="15.75" hidden="false" customHeight="false" outlineLevel="0" collapsed="false">
      <c r="B78" s="6" t="n">
        <f aca="false">IFERROR(__xludf.dummyfunction("""COMPUTED_VALUE"""),42873.3309120949)</f>
        <v>42873.33091</v>
      </c>
      <c r="C78" s="0" t="str">
        <f aca="false">IFERROR(__xludf.dummyfunction("""COMPUTED_VALUE"""),"Янукова")</f>
        <v>Янукова</v>
      </c>
      <c r="D78" s="0" t="str">
        <f aca="false">IFERROR(__xludf.dummyfunction("""COMPUTED_VALUE"""),"Екатерина")</f>
        <v>Екатерина</v>
      </c>
      <c r="E78" s="0" t="n">
        <f aca="false">IFERROR(__xludf.dummyfunction("""COMPUTED_VALUE"""),10)</f>
        <v>10</v>
      </c>
      <c r="F78" s="7" t="str">
        <f aca="false">IFERROR(__xludf.dummyfunction("""COMPUTED_VALUE"""),"81")</f>
        <v>81</v>
      </c>
      <c r="H78" s="8" t="str">
        <f aca="false">IFERROR(__xludf.dummyfunction("""COMPUTED_VALUE"""),"vk.com/id150796947")</f>
        <v>vk.com/id150796947</v>
      </c>
      <c r="I78" s="0" t="str">
        <f aca="false">IFERROR(__xludf.dummyfunction("""COMPUTED_VALUE"""),"elena051178@gmail.com")</f>
        <v>elena051178@gmail.com</v>
      </c>
      <c r="J78" s="0" t="str">
        <f aca="false">IFERROR(__xludf.dummyfunction("""COMPUTED_VALUE"""),"Право")</f>
        <v>Право</v>
      </c>
      <c r="K78" s="0" t="str">
        <f aca="false">IFERROR(__xludf.dummyfunction("""COMPUTED_VALUE"""),"Экономика")</f>
        <v>Экономика</v>
      </c>
      <c r="L78" s="0" t="n">
        <f aca="false">IFERROR(__xludf.dummyfunction("""COMPUTED_VALUE"""),2)</f>
        <v>2</v>
      </c>
    </row>
    <row r="79" customFormat="false" ht="15.75" hidden="false" customHeight="false" outlineLevel="0" collapsed="false">
      <c r="B79" s="6" t="n">
        <f aca="false">IFERROR(__xludf.dummyfunction("""COMPUTED_VALUE"""),42877.6324631713)</f>
        <v>42877.63246</v>
      </c>
      <c r="C79" s="0" t="str">
        <f aca="false">IFERROR(__xludf.dummyfunction("""COMPUTED_VALUE"""),"Рудских")</f>
        <v>Рудских</v>
      </c>
      <c r="D79" s="0" t="str">
        <f aca="false">IFERROR(__xludf.dummyfunction("""COMPUTED_VALUE"""),"Дмитрий")</f>
        <v>Дмитрий</v>
      </c>
      <c r="E79" s="0" t="n">
        <f aca="false">IFERROR(__xludf.dummyfunction("""COMPUTED_VALUE"""),10)</f>
        <v>10</v>
      </c>
      <c r="F79" s="0" t="str">
        <f aca="false">IFERROR(__xludf.dummyfunction("""COMPUTED_VALUE"""),"64 лицей")</f>
        <v>64 лицей</v>
      </c>
      <c r="H79" s="8" t="str">
        <f aca="false">IFERROR(__xludf.dummyfunction("""COMPUTED_VALUE"""),"vk.com/d.rudskikh")</f>
        <v>vk.com/d.rudskikh</v>
      </c>
      <c r="I79" s="0" t="str">
        <f aca="false">IFERROR(__xludf.dummyfunction("""COMPUTED_VALUE"""),"rudskihda@gmail.com")</f>
        <v>rudskihda@gmail.com</v>
      </c>
      <c r="J79" s="0" t="str">
        <f aca="false">IFERROR(__xludf.dummyfunction("""COMPUTED_VALUE"""),"Программирование(Шульга)")</f>
        <v>Программирование(Шульга)</v>
      </c>
      <c r="K79" s="0" t="str">
        <f aca="false">IFERROR(__xludf.dummyfunction("""COMPUTED_VALUE"""),"Экономика")</f>
        <v>Экономика</v>
      </c>
      <c r="L79" s="0" t="n">
        <f aca="false">IFERROR(__xludf.dummyfunction("""COMPUTED_VALUE"""),2)</f>
        <v>2</v>
      </c>
    </row>
    <row r="80" customFormat="false" ht="15.75" hidden="false" customHeight="false" outlineLevel="0" collapsed="false">
      <c r="B80" s="6" t="n">
        <f aca="false">IFERROR(__xludf.dummyfunction("""COMPUTED_VALUE"""),42879.7349168866)</f>
        <v>42879.73492</v>
      </c>
      <c r="C80" s="0" t="str">
        <f aca="false">IFERROR(__xludf.dummyfunction("""COMPUTED_VALUE"""),"Мороз ")</f>
        <v>Мороз</v>
      </c>
      <c r="D80" s="0" t="str">
        <f aca="false">IFERROR(__xludf.dummyfunction("""COMPUTED_VALUE"""),"Семён ")</f>
        <v>Семён</v>
      </c>
      <c r="E80" s="0" t="n">
        <f aca="false">IFERROR(__xludf.dummyfunction("""COMPUTED_VALUE"""),7)</f>
        <v>7</v>
      </c>
      <c r="F80" s="0" t="n">
        <f aca="false">IFERROR(__xludf.dummyfunction("""COMPUTED_VALUE"""),117)</f>
        <v>117</v>
      </c>
      <c r="H80" s="0" t="str">
        <f aca="false">IFERROR(__xludf.dummyfunction("""COMPUTED_VALUE"""),"нет")</f>
        <v>нет</v>
      </c>
      <c r="I80" s="0" t="str">
        <f aca="false">IFERROR(__xludf.dummyfunction("""COMPUTED_VALUE"""),"semenische@icloud.com")</f>
        <v>semenische@icloud.com</v>
      </c>
      <c r="J80" s="0" t="str">
        <f aca="false">IFERROR(__xludf.dummyfunction("""COMPUTED_VALUE"""),"Физика(Рутберг)")</f>
        <v>Физика(Рутберг)</v>
      </c>
      <c r="K80" s="0" t="str">
        <f aca="false">IFERROR(__xludf.dummyfunction("""COMPUTED_VALUE"""),"Экономика")</f>
        <v>Экономика</v>
      </c>
      <c r="L80" s="0" t="n">
        <f aca="false">IFERROR(__xludf.dummyfunction("""COMPUTED_VALUE"""),1)</f>
        <v>1</v>
      </c>
    </row>
    <row r="81" customFormat="false" ht="15.75" hidden="false" customHeight="false" outlineLevel="0" collapsed="false">
      <c r="B81" s="6" t="n">
        <f aca="false">IFERROR(__xludf.dummyfunction("""COMPUTED_VALUE"""),42882.8283803357)</f>
        <v>42882.82838</v>
      </c>
      <c r="C81" s="0" t="str">
        <f aca="false">IFERROR(__xludf.dummyfunction("""COMPUTED_VALUE"""),"Зольников")</f>
        <v>Зольников</v>
      </c>
      <c r="D81" s="0" t="str">
        <f aca="false">IFERROR(__xludf.dummyfunction("""COMPUTED_VALUE"""),"Андрей")</f>
        <v>Андрей</v>
      </c>
      <c r="E81" s="0" t="n">
        <f aca="false">IFERROR(__xludf.dummyfunction("""COMPUTED_VALUE"""),10)</f>
        <v>10</v>
      </c>
      <c r="F81" s="0" t="str">
        <f aca="false">IFERROR(__xludf.dummyfunction("""COMPUTED_VALUE"""),"БОУ ОО ""МОЦРО №117""")</f>
        <v>БОУ ОО "МОЦРО №117"</v>
      </c>
      <c r="H81" s="8" t="str">
        <f aca="false">IFERROR(__xludf.dummyfunction("""COMPUTED_VALUE"""),"vk.com/andrezolnikov")</f>
        <v>vk.com/andrezolnikov</v>
      </c>
      <c r="I81" s="0" t="str">
        <f aca="false">IFERROR(__xludf.dummyfunction("""COMPUTED_VALUE"""),"zolnikov00@ya.ru")</f>
        <v>zolnikov00@ya.ru</v>
      </c>
      <c r="J81" s="0" t="str">
        <f aca="false">IFERROR(__xludf.dummyfunction("""COMPUTED_VALUE"""),"Испанский")</f>
        <v>Испанский</v>
      </c>
      <c r="K81" s="0" t="str">
        <f aca="false">IFERROR(__xludf.dummyfunction("""COMPUTED_VALUE"""),"Экономика")</f>
        <v>Экономика</v>
      </c>
      <c r="L81" s="0" t="n">
        <f aca="false">IFERROR(__xludf.dummyfunction("""COMPUTED_VALUE"""),2)</f>
        <v>2</v>
      </c>
    </row>
    <row r="82" customFormat="false" ht="15.75" hidden="false" customHeight="false" outlineLevel="0" collapsed="false">
      <c r="B82" s="6" t="n">
        <f aca="false">IFERROR(__xludf.dummyfunction("""COMPUTED_VALUE"""),42882.889410081)</f>
        <v>42882.88941</v>
      </c>
      <c r="C82" s="0" t="str">
        <f aca="false">IFERROR(__xludf.dummyfunction("""COMPUTED_VALUE"""),"Точилов")</f>
        <v>Точилов</v>
      </c>
      <c r="D82" s="0" t="str">
        <f aca="false">IFERROR(__xludf.dummyfunction("""COMPUTED_VALUE"""),"Владислав")</f>
        <v>Владислав</v>
      </c>
      <c r="E82" s="0" t="n">
        <f aca="false">IFERROR(__xludf.dummyfunction("""COMPUTED_VALUE"""),10)</f>
        <v>10</v>
      </c>
      <c r="F82" s="0" t="str">
        <f aca="false">IFERROR(__xludf.dummyfunction("""COMPUTED_VALUE"""),"Гимназия 19")</f>
        <v>Гимназия 19</v>
      </c>
      <c r="H82" s="8" t="str">
        <f aca="false">IFERROR(__xludf.dummyfunction("""COMPUTED_VALUE"""),"vk.com/uhhkjg78ygh")</f>
        <v>vk.com/uhhkjg78ygh</v>
      </c>
      <c r="I82" s="0" t="str">
        <f aca="false">IFERROR(__xludf.dummyfunction("""COMPUTED_VALUE"""),"vladislavtochilov@gmail.com")</f>
        <v>vladislavtochilov@gmail.com</v>
      </c>
      <c r="J82" s="0" t="str">
        <f aca="false">IFERROR(__xludf.dummyfunction("""COMPUTED_VALUE"""),"Право")</f>
        <v>Право</v>
      </c>
      <c r="K82" s="0" t="str">
        <f aca="false">IFERROR(__xludf.dummyfunction("""COMPUTED_VALUE"""),"Экономика")</f>
        <v>Экономика</v>
      </c>
      <c r="L82" s="0" t="n">
        <f aca="false">IFERROR(__xludf.dummyfunction("""COMPUTED_VALUE"""),2)</f>
        <v>2</v>
      </c>
    </row>
    <row r="83" customFormat="false" ht="15.75" hidden="false" customHeight="false" outlineLevel="0" collapsed="false">
      <c r="B83" s="6" t="n">
        <f aca="false">IFERROR(__xludf.dummyfunction("""COMPUTED_VALUE"""),42883.5582603472)</f>
        <v>42883.55826</v>
      </c>
      <c r="C83" s="0" t="str">
        <f aca="false">IFERROR(__xludf.dummyfunction("""COMPUTED_VALUE"""),"Петухова")</f>
        <v>Петухова</v>
      </c>
      <c r="D83" s="0" t="str">
        <f aca="false">IFERROR(__xludf.dummyfunction("""COMPUTED_VALUE"""),"Дарья")</f>
        <v>Дарья</v>
      </c>
      <c r="E83" s="0" t="n">
        <f aca="false">IFERROR(__xludf.dummyfunction("""COMPUTED_VALUE"""),8)</f>
        <v>8</v>
      </c>
      <c r="F83" s="0" t="str">
        <f aca="false">IFERROR(__xludf.dummyfunction("""COMPUTED_VALUE"""),"№7")</f>
        <v>№7</v>
      </c>
      <c r="H83" s="8" t="str">
        <f aca="false">IFERROR(__xludf.dummyfunction("""COMPUTED_VALUE"""),"vk.com/ddp102f")</f>
        <v>vk.com/ddp102f</v>
      </c>
      <c r="I83" s="0" t="str">
        <f aca="false">IFERROR(__xludf.dummyfunction("""COMPUTED_VALUE"""),"Нет")</f>
        <v>Нет</v>
      </c>
      <c r="J83" s="0" t="str">
        <f aca="false">IFERROR(__xludf.dummyfunction("""COMPUTED_VALUE"""),"Право")</f>
        <v>Право</v>
      </c>
      <c r="K83" s="0" t="str">
        <f aca="false">IFERROR(__xludf.dummyfunction("""COMPUTED_VALUE"""),"Экономика")</f>
        <v>Экономика</v>
      </c>
      <c r="L83" s="0" t="n">
        <f aca="false">IFERROR(__xludf.dummyfunction("""COMPUTED_VALUE"""),2)</f>
        <v>2</v>
      </c>
    </row>
    <row r="84" customFormat="false" ht="15.75" hidden="false" customHeight="false" outlineLevel="0" collapsed="false">
      <c r="B84" s="6" t="n">
        <f aca="false">IFERROR(__xludf.dummyfunction("""COMPUTED_VALUE"""),42884.4738984375)</f>
        <v>42884.4739</v>
      </c>
      <c r="C84" s="0" t="str">
        <f aca="false">IFERROR(__xludf.dummyfunction("""COMPUTED_VALUE"""),"Христолюбов")</f>
        <v>Христолюбов</v>
      </c>
      <c r="D84" s="0" t="str">
        <f aca="false">IFERROR(__xludf.dummyfunction("""COMPUTED_VALUE"""),"Богдан")</f>
        <v>Богдан</v>
      </c>
      <c r="E84" s="0" t="n">
        <f aca="false">IFERROR(__xludf.dummyfunction("""COMPUTED_VALUE"""),7)</f>
        <v>7</v>
      </c>
      <c r="F84" s="0" t="n">
        <f aca="false">IFERROR(__xludf.dummyfunction("""COMPUTED_VALUE"""),146)</f>
        <v>146</v>
      </c>
      <c r="H84" s="8" t="str">
        <f aca="false">IFERROR(__xludf.dummyfunction("""COMPUTED_VALUE"""),"vk.com/id382406601")</f>
        <v>vk.com/id382406601</v>
      </c>
      <c r="I84" s="0" t="str">
        <f aca="false">IFERROR(__xludf.dummyfunction("""COMPUTED_VALUE"""),"b140103@list.ru")</f>
        <v>b140103@list.ru</v>
      </c>
      <c r="J84" s="0" t="str">
        <f aca="false">IFERROR(__xludf.dummyfunction("""COMPUTED_VALUE"""),"Право")</f>
        <v>Право</v>
      </c>
      <c r="K84" s="0" t="str">
        <f aca="false">IFERROR(__xludf.dummyfunction("""COMPUTED_VALUE"""),"Экономика")</f>
        <v>Экономика</v>
      </c>
      <c r="L84" s="0" t="n">
        <f aca="false">IFERROR(__xludf.dummyfunction("""COMPUTED_VALUE"""),2)</f>
        <v>2</v>
      </c>
    </row>
    <row r="85" customFormat="false" ht="15.75" hidden="false" customHeight="false" outlineLevel="0" collapsed="false">
      <c r="B85" s="6" t="n">
        <f aca="false">IFERROR(__xludf.dummyfunction("""COMPUTED_VALUE"""),42884.7318112384)</f>
        <v>42884.73181</v>
      </c>
      <c r="C85" s="0" t="str">
        <f aca="false">IFERROR(__xludf.dummyfunction("""COMPUTED_VALUE"""),"Моисеева")</f>
        <v>Моисеева</v>
      </c>
      <c r="D85" s="0" t="str">
        <f aca="false">IFERROR(__xludf.dummyfunction("""COMPUTED_VALUE"""),"Вероника")</f>
        <v>Вероника</v>
      </c>
      <c r="E85" s="0" t="n">
        <f aca="false">IFERROR(__xludf.dummyfunction("""COMPUTED_VALUE"""),7)</f>
        <v>7</v>
      </c>
      <c r="F85" s="0" t="str">
        <f aca="false">IFERROR(__xludf.dummyfunction("""COMPUTED_VALUE"""),"МОЦРО 117")</f>
        <v>МОЦРО 117</v>
      </c>
      <c r="H85" s="8" t="str">
        <f aca="false">IFERROR(__xludf.dummyfunction("""COMPUTED_VALUE"""),"vk.com/id276675815")</f>
        <v>vk.com/id276675815</v>
      </c>
      <c r="I85" s="0" t="str">
        <f aca="false">IFERROR(__xludf.dummyfunction("""COMPUTED_VALUE"""),"moinikita333@yandex.ru")</f>
        <v>moinikita333@yandex.ru</v>
      </c>
      <c r="J85" s="0" t="str">
        <f aca="false">IFERROR(__xludf.dummyfunction("""COMPUTED_VALUE"""),"Программирование(Шульга)")</f>
        <v>Программирование(Шульга)</v>
      </c>
      <c r="K85" s="0" t="str">
        <f aca="false">IFERROR(__xludf.dummyfunction("""COMPUTED_VALUE"""),"Экономика")</f>
        <v>Экономика</v>
      </c>
      <c r="L85" s="0" t="n">
        <f aca="false">IFERROR(__xludf.dummyfunction("""COMPUTED_VALUE"""),2)</f>
        <v>2</v>
      </c>
    </row>
    <row r="86" customFormat="false" ht="15.75" hidden="false" customHeight="false" outlineLevel="0" collapsed="false">
      <c r="B86" s="6" t="n">
        <f aca="false">IFERROR(__xludf.dummyfunction("""COMPUTED_VALUE"""),42893.875)</f>
        <v>42893.875</v>
      </c>
      <c r="C86" s="0" t="str">
        <f aca="false">IFERROR(__xludf.dummyfunction("""COMPUTED_VALUE"""),"Алтышев")</f>
        <v>Алтышев</v>
      </c>
      <c r="D86" s="0" t="str">
        <f aca="false">IFERROR(__xludf.dummyfunction("""COMPUTED_VALUE"""),"Артем")</f>
        <v>Артем</v>
      </c>
      <c r="E86" s="0" t="n">
        <f aca="false">IFERROR(__xludf.dummyfunction("""COMPUTED_VALUE"""),9)</f>
        <v>9</v>
      </c>
      <c r="F86" s="7" t="str">
        <f aca="false">IFERROR(__xludf.dummyfunction("""COMPUTED_VALUE"""),"109")</f>
        <v>109</v>
      </c>
      <c r="H86" s="8" t="str">
        <f aca="false">IFERROR(__xludf.dummyfunction("""COMPUTED_VALUE"""),"vk.com/id312748553")</f>
        <v>vk.com/id312748553</v>
      </c>
      <c r="I86" s="0" t="str">
        <f aca="false">IFERROR(__xludf.dummyfunction("""COMPUTED_VALUE"""),"artem-altyshev@mail.ru")</f>
        <v>artem-altyshev@mail.ru</v>
      </c>
      <c r="J86" s="0" t="str">
        <f aca="false">IFERROR(__xludf.dummyfunction("""COMPUTED_VALUE"""),"Право")</f>
        <v>Право</v>
      </c>
      <c r="K86" s="0" t="str">
        <f aca="false">IFERROR(__xludf.dummyfunction("""COMPUTED_VALUE"""),"Экономика")</f>
        <v>Экономика</v>
      </c>
      <c r="L86" s="0" t="n">
        <f aca="false">IFERROR(__xludf.dummyfunction("""COMPUTED_VALUE"""),2)</f>
        <v>2</v>
      </c>
    </row>
  </sheetData>
  <dataValidations count="1">
    <dataValidation allowBlank="true" errorStyle="stop" operator="between" showDropDown="false" showErrorMessage="true" showInputMessage="false" sqref="A2 A34 A68" type="list">
      <formula1>'Переформатированный ответ'!$N$2:$N$11</formula1>
      <formula2>0</formula2>
    </dataValidation>
  </dataValidations>
  <hyperlinks>
    <hyperlink ref="H4" r:id="rId1" display="http://vk.com/juliya___z"/>
    <hyperlink ref="H5" r:id="rId2" display="http://vk.com/idiamolya"/>
    <hyperlink ref="H6" r:id="rId3" display="http://vk.com/anitastashevskaya"/>
    <hyperlink ref="H7" r:id="rId4" display="http://vk.com/id281300280"/>
    <hyperlink ref="H8" r:id="rId5" display="http://vk.com/shefat"/>
    <hyperlink ref="H9" r:id="rId6" display="http://vk.com/akushnareva2000"/>
    <hyperlink ref="H10" r:id="rId7" display="http://vk.com/svandrith"/>
    <hyperlink ref="H11" r:id="rId8" display="http://vk.com/id149548495"/>
    <hyperlink ref="H12" r:id="rId9" display="http://vk.com/id189813664"/>
    <hyperlink ref="H13" r:id="rId10" display="http://vk.com/anna.kurbatova99"/>
    <hyperlink ref="H36" r:id="rId11" display="http://vk.com/id209670944"/>
    <hyperlink ref="H37" r:id="rId12" display="http://vk.com/m.arkushenko"/>
    <hyperlink ref="H70" r:id="rId13" display="http://vk.com/jess41359473"/>
    <hyperlink ref="H71" r:id="rId14" display="http://vk.com/tillid"/>
    <hyperlink ref="H72" r:id="rId15" display="http://vk.com/liza06082000"/>
    <hyperlink ref="H74" r:id="rId16" display="http://vk.com/dref55"/>
    <hyperlink ref="H75" r:id="rId17" display="http://vk.com/yan_vyazem"/>
    <hyperlink ref="H76" r:id="rId18" display="http://vk.com/danil.ryabtsev"/>
    <hyperlink ref="H77" r:id="rId19" display="http://vk.com/m.arkushenko"/>
    <hyperlink ref="H78" r:id="rId20" display="http://vk.com/id150796947"/>
    <hyperlink ref="H79" r:id="rId21" display="http://vk.com/d.rudskikh"/>
    <hyperlink ref="H81" r:id="rId22" display="http://vk.com/andrezolnikov"/>
    <hyperlink ref="H82" r:id="rId23" display="http://vk.com/uhhkjg78ygh"/>
    <hyperlink ref="H83" r:id="rId24" display="http://vk.com/ddp102f"/>
    <hyperlink ref="H84" r:id="rId25" display="http://vk.com/id382406601"/>
    <hyperlink ref="H85" r:id="rId26" display="http://vk.com/id276675815"/>
    <hyperlink ref="H86" r:id="rId27" display="http://vk.com/id31274855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2021-08-23T13:40:05Z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