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harts/chart28.xml" ContentType="application/vnd.openxmlformats-officedocument.drawingml.chart+xml"/>
  <Override PartName="/xl/charts/chart27.xml" ContentType="application/vnd.openxmlformats-officedocument.drawingml.chart+xml"/>
  <Override PartName="/xl/charts/chart31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drawings/_rels/drawing5.xml.rels" ContentType="application/vnd.openxmlformats-package.relationships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" sheetId="1" state="visible" r:id="rId2"/>
    <sheet name="Списки" sheetId="2" state="visible" r:id="rId3"/>
    <sheet name="Переформатированный ответ" sheetId="3" state="visible" r:id="rId4"/>
    <sheet name="1 половина 1 пара" sheetId="4" state="visible" r:id="rId5"/>
    <sheet name="1 половина 2 пара" sheetId="5" state="visible" r:id="rId6"/>
    <sheet name="2 половина 1 пара" sheetId="6" state="visible" r:id="rId7"/>
    <sheet name="2 половина 2 пара" sheetId="7" state="visible" r:id="rId8"/>
    <sheet name="Статистика" sheetId="8" state="visible" r:id="rId9"/>
    <sheet name="Картинки" sheetId="9" state="visible" r:id="rId10"/>
    <sheet name="Список прошлого года" sheetId="10" state="visible" r:id="rId11"/>
  </sheets>
  <definedNames>
    <definedName function="false" hidden="false" localSheetId="2" name="Z_9DA36B44_011C_486A_89F7_178B0177E6F6_.wvu.FilterData" vbProcedure="false">'Переформатированный ответ'!$O$2:$O$166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42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  <comment ref="E98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
было БОУ ОО «МОЦРО №177»</t>
        </r>
      </text>
    </comment>
    <comment ref="F23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  <comment ref="G116" authorId="0">
      <text>
        <r>
          <rPr>
            <sz val="10"/>
            <color rgb="FF000000"/>
            <rFont val="Arial"/>
            <family val="0"/>
            <charset val="1"/>
          </rPr>
          <t xml:space="preserve">было Лицей 29</t>
        </r>
      </text>
    </comment>
    <comment ref="G158" authorId="0">
      <text>
        <r>
          <rPr>
            <sz val="10"/>
            <color rgb="FF000000"/>
            <rFont val="Arial"/>
            <family val="0"/>
            <charset val="1"/>
          </rPr>
          <t xml:space="preserve">было "Есть"</t>
        </r>
      </text>
    </comment>
    <comment ref="I12" authorId="0">
      <text>
        <r>
          <rPr>
            <sz val="10"/>
            <color rgb="FF000000"/>
            <rFont val="Arial"/>
            <family val="0"/>
            <charset val="1"/>
          </rPr>
          <t xml:space="preserve">Теория потребителя</t>
        </r>
      </text>
    </comment>
    <comment ref="I98" authorId="0">
      <text>
        <r>
          <rPr>
            <sz val="10"/>
            <color rgb="FF000000"/>
            <rFont val="Arial"/>
            <family val="0"/>
            <charset val="1"/>
          </rPr>
          <t xml:space="preserve">Было: Зачем нужна филология?</t>
        </r>
      </text>
    </comment>
    <comment ref="I125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  <comment ref="I151" authorId="0">
      <text>
        <r>
          <rPr>
            <sz val="10"/>
            <color rgb="FF000000"/>
            <rFont val="Arial"/>
            <family val="0"/>
            <charset val="1"/>
          </rPr>
          <t xml:space="preserve">Не совсем наивная алгебра</t>
        </r>
      </text>
    </comment>
    <comment ref="I177" authorId="0">
      <text>
        <r>
          <rPr>
            <sz val="10"/>
            <color rgb="FF000000"/>
            <rFont val="Arial"/>
            <family val="0"/>
            <charset val="1"/>
          </rPr>
          <t xml:space="preserve">Не совсем наивная алгебра</t>
        </r>
      </text>
    </comment>
    <comment ref="I180" authorId="0">
      <text>
        <r>
          <rPr>
            <sz val="10"/>
            <color rgb="FF000000"/>
            <rFont val="Arial"/>
            <family val="0"/>
            <charset val="1"/>
          </rPr>
          <t xml:space="preserve">Не совсем наивная алгебра</t>
        </r>
      </text>
    </comment>
    <comment ref="I182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
было Не совсем наивная алгебра</t>
        </r>
      </text>
    </comment>
    <comment ref="J7" authorId="0">
      <text>
        <r>
          <rPr>
            <sz val="10"/>
            <color rgb="FF000000"/>
            <rFont val="Arial"/>
            <family val="0"/>
            <charset val="1"/>
          </rPr>
          <t xml:space="preserve">Английский</t>
        </r>
      </text>
    </comment>
    <comment ref="J44" authorId="0">
      <text>
        <r>
          <rPr>
            <sz val="10"/>
            <color rgb="FF000000"/>
            <rFont val="Arial"/>
            <family val="0"/>
            <charset val="1"/>
          </rPr>
          <t xml:space="preserve">Теория игр</t>
        </r>
      </text>
    </comment>
    <comment ref="J45" authorId="0">
      <text>
        <r>
          <rPr>
            <sz val="10"/>
            <color rgb="FF000000"/>
            <rFont val="Arial"/>
            <family val="0"/>
            <charset val="1"/>
          </rPr>
          <t xml:space="preserve">Теория игр</t>
        </r>
      </text>
    </comment>
    <comment ref="J98" authorId="0">
      <text>
        <r>
          <rPr>
            <sz val="10"/>
            <color rgb="FF000000"/>
            <rFont val="Arial"/>
            <family val="0"/>
            <charset val="1"/>
          </rPr>
          <t xml:space="preserve">Было: Презентация</t>
        </r>
      </text>
    </comment>
    <comment ref="J125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  <comment ref="J167" authorId="0">
      <text>
        <r>
          <rPr>
            <sz val="10"/>
            <color rgb="FF000000"/>
            <rFont val="Arial"/>
            <family val="0"/>
            <charset val="1"/>
          </rPr>
          <t xml:space="preserve">Теория большого математика</t>
        </r>
      </text>
    </comment>
    <comment ref="J182" authorId="0">
      <text>
        <r>
          <rPr>
            <sz val="10"/>
            <color rgb="FF000000"/>
            <rFont val="Arial"/>
            <family val="0"/>
            <charset val="1"/>
          </rPr>
          <t xml:space="preserve">было Теория игр</t>
        </r>
      </text>
    </comment>
    <comment ref="K60" authorId="0">
      <text>
        <r>
          <rPr>
            <sz val="10"/>
            <color rgb="FF000000"/>
            <rFont val="Arial"/>
            <family val="0"/>
            <charset val="1"/>
          </rPr>
          <t xml:space="preserve">Олимпиадная геометрия</t>
        </r>
      </text>
    </comment>
    <comment ref="K61" authorId="0">
      <text>
        <r>
          <rPr>
            <sz val="10"/>
            <color rgb="FF000000"/>
            <rFont val="Arial"/>
            <family val="0"/>
            <charset val="1"/>
          </rPr>
          <t xml:space="preserve">Было: меня не будет в это время</t>
        </r>
      </text>
    </comment>
    <comment ref="K99" authorId="0">
      <text>
        <r>
          <rPr>
            <sz val="10"/>
            <color rgb="FF000000"/>
            <rFont val="Arial"/>
            <family val="0"/>
            <charset val="1"/>
          </rPr>
          <t xml:space="preserve">Международное право</t>
        </r>
      </text>
    </comment>
    <comment ref="K119" authorId="0">
      <text>
        <r>
          <rPr>
            <sz val="10"/>
            <color rgb="FF000000"/>
            <rFont val="Arial"/>
            <family val="0"/>
            <charset val="1"/>
          </rPr>
          <t xml:space="preserve">Поле было пустым</t>
        </r>
      </text>
    </comment>
    <comment ref="K125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  <comment ref="K128" authorId="0">
      <text>
        <r>
          <rPr>
            <sz val="10"/>
            <color rgb="FF000000"/>
            <rFont val="Arial"/>
            <family val="0"/>
            <charset val="1"/>
          </rPr>
          <t xml:space="preserve">Введение в макроэкономику</t>
        </r>
      </text>
    </comment>
    <comment ref="K129" authorId="0">
      <text>
        <r>
          <rPr>
            <sz val="10"/>
            <color rgb="FF000000"/>
            <rFont val="Arial"/>
            <family val="0"/>
            <charset val="1"/>
          </rPr>
          <t xml:space="preserve">Меня не будет в это время</t>
        </r>
      </text>
    </comment>
    <comment ref="K135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</t>
        </r>
      </text>
    </comment>
    <comment ref="K136" authorId="0">
      <text>
        <r>
          <rPr>
            <sz val="10"/>
            <color rgb="FF000000"/>
            <rFont val="Arial"/>
            <family val="0"/>
            <charset val="1"/>
          </rPr>
          <t xml:space="preserve">Олимпиадная геометрия</t>
        </r>
      </text>
    </comment>
    <comment ref="K165" authorId="0">
      <text>
        <r>
          <rPr>
            <sz val="10"/>
            <color rgb="FF000000"/>
            <rFont val="Arial"/>
            <family val="0"/>
            <charset val="1"/>
          </rPr>
          <t xml:space="preserve">Мобильный геймдев (вторая часть)</t>
        </r>
      </text>
    </comment>
    <comment ref="K167" authorId="0">
      <text>
        <r>
          <rPr>
            <sz val="10"/>
            <color rgb="FF000000"/>
            <rFont val="Arial"/>
            <family val="0"/>
            <charset val="1"/>
          </rPr>
          <t xml:space="preserve">Теория множеств
</t>
        </r>
      </text>
    </comment>
    <comment ref="K170" authorId="0">
      <text>
        <r>
          <rPr>
            <sz val="10"/>
            <color rgb="FF000000"/>
            <rFont val="Arial"/>
            <family val="0"/>
            <charset val="1"/>
          </rPr>
          <t xml:space="preserve">Теория множеств</t>
        </r>
      </text>
    </comment>
    <comment ref="K178" authorId="0">
      <text>
        <r>
          <rPr>
            <sz val="10"/>
            <color rgb="FF000000"/>
            <rFont val="Arial"/>
            <family val="0"/>
            <charset val="1"/>
          </rPr>
          <t xml:space="preserve">Введение в макроэкономику</t>
        </r>
      </text>
    </comment>
    <comment ref="K182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изменено респондентом.
было Олимпиадная геометрия</t>
        </r>
      </text>
    </comment>
    <comment ref="K184" authorId="0">
      <text>
        <r>
          <rPr>
            <sz val="10"/>
            <color rgb="FF000000"/>
            <rFont val="Arial"/>
            <family val="0"/>
            <charset val="1"/>
          </rPr>
          <t xml:space="preserve">Цифровая электроника</t>
        </r>
      </text>
    </comment>
    <comment ref="K188" authorId="0">
      <text>
        <r>
          <rPr>
            <sz val="10"/>
            <color rgb="FF000000"/>
            <rFont val="Arial"/>
            <family val="0"/>
            <charset val="1"/>
          </rPr>
          <t xml:space="preserve">Олимпиадная геометрия</t>
        </r>
      </text>
    </comment>
    <comment ref="K193" authorId="0">
      <text>
        <r>
          <rPr>
            <sz val="10"/>
            <color rgb="FF000000"/>
            <rFont val="Arial"/>
            <family val="0"/>
            <charset val="1"/>
          </rPr>
          <t xml:space="preserve">Олимпиадная геометрия</t>
        </r>
      </text>
    </comment>
    <comment ref="L2" authorId="0">
      <text>
        <r>
          <rPr>
            <sz val="10"/>
            <color rgb="FF000000"/>
            <rFont val="Arial"/>
            <family val="0"/>
            <charset val="1"/>
          </rPr>
          <t xml:space="preserve">было R: работа со структурой данных</t>
        </r>
      </text>
    </comment>
    <comment ref="L9" authorId="0">
      <text>
        <r>
          <rPr>
            <sz val="10"/>
            <color rgb="FF000000"/>
            <rFont val="Arial"/>
            <family val="0"/>
            <charset val="1"/>
          </rPr>
          <t xml:space="preserve">Турнирная химия</t>
        </r>
      </text>
    </comment>
    <comment ref="L12" authorId="0">
      <text>
        <r>
          <rPr>
            <sz val="10"/>
            <color rgb="FF000000"/>
            <rFont val="Arial"/>
            <family val="0"/>
            <charset val="1"/>
          </rPr>
          <t xml:space="preserve">Логистика акции по раздельному сбору отходов</t>
        </r>
      </text>
    </comment>
    <comment ref="L28" authorId="0">
      <text>
        <r>
          <rPr>
            <sz val="10"/>
            <color rgb="FF000000"/>
            <rFont val="Arial"/>
            <family val="0"/>
            <charset val="1"/>
          </rPr>
          <t xml:space="preserve">Был политический анализ, Дана была не против ещё одного человека</t>
        </r>
      </text>
    </comment>
    <comment ref="L48" authorId="0">
      <text>
        <r>
          <rPr>
            <sz val="10"/>
            <color rgb="FF000000"/>
            <rFont val="Arial"/>
            <family val="0"/>
            <charset val="1"/>
          </rPr>
          <t xml:space="preserve">НЕсочинение: как написать текст, который прочтут до конца</t>
        </r>
      </text>
    </comment>
    <comment ref="L53" authorId="0">
      <text>
        <r>
          <rPr>
            <sz val="10"/>
            <color rgb="FF000000"/>
            <rFont val="Arial"/>
            <family val="0"/>
            <charset val="1"/>
          </rPr>
          <t xml:space="preserve">Турнирная химия</t>
        </r>
      </text>
    </comment>
    <comment ref="L61" authorId="0">
      <text>
        <r>
          <rPr>
            <sz val="10"/>
            <color rgb="FF000000"/>
            <rFont val="Arial"/>
            <family val="0"/>
            <charset val="1"/>
          </rPr>
          <t xml:space="preserve">Было: меня не будет в это время</t>
        </r>
      </text>
    </comment>
    <comment ref="L99" authorId="0">
      <text>
        <r>
          <rPr>
            <sz val="10"/>
            <color rgb="FF000000"/>
            <rFont val="Arial"/>
            <family val="0"/>
            <charset val="1"/>
          </rPr>
          <t xml:space="preserve">Маркетинг</t>
        </r>
      </text>
    </comment>
    <comment ref="L137" authorId="0">
      <text>
        <r>
          <rPr>
            <sz val="10"/>
            <color rgb="FF000000"/>
            <rFont val="Arial"/>
            <family val="0"/>
            <charset val="1"/>
          </rPr>
          <t xml:space="preserve">Турнирная химия</t>
        </r>
      </text>
    </comment>
    <comment ref="L176" authorId="0">
      <text>
        <r>
          <rPr>
            <sz val="10"/>
            <color rgb="FF000000"/>
            <rFont val="Arial"/>
            <family val="0"/>
            <charset val="1"/>
          </rPr>
          <t xml:space="preserve">Турнирная химия</t>
        </r>
      </text>
    </comment>
    <comment ref="L177" authorId="0">
      <text>
        <r>
          <rPr>
            <sz val="10"/>
            <color rgb="FF000000"/>
            <rFont val="Arial"/>
            <family val="0"/>
            <charset val="1"/>
          </rPr>
          <t xml:space="preserve">Меня не будет в это время</t>
        </r>
      </text>
    </comment>
    <comment ref="L178" authorId="0">
      <text>
        <r>
          <rPr>
            <sz val="10"/>
            <color rgb="FF000000"/>
            <rFont val="Arial"/>
            <family val="0"/>
            <charset val="1"/>
          </rPr>
          <t xml:space="preserve">Меня не будет в это время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38" authorId="0">
      <text>
        <r>
          <rPr>
            <sz val="10"/>
            <color rgb="FF000000"/>
            <rFont val="Arial"/>
            <family val="0"/>
            <charset val="1"/>
          </rPr>
          <t xml:space="preserve">https://vk.com/id341427594 Она забыла вставить, так что воть.</t>
        </r>
      </text>
    </comment>
  </commentList>
</comments>
</file>

<file path=xl/sharedStrings.xml><?xml version="1.0" encoding="utf-8"?>
<sst xmlns="http://schemas.openxmlformats.org/spreadsheetml/2006/main" count="3330" uniqueCount="1297">
  <si>
    <t xml:space="preserve">Отметка времени</t>
  </si>
  <si>
    <t xml:space="preserve">Фамилия</t>
  </si>
  <si>
    <t xml:space="preserve">Имя</t>
  </si>
  <si>
    <t xml:space="preserve">Класс</t>
  </si>
  <si>
    <t xml:space="preserve">Ваша школа</t>
  </si>
  <si>
    <t xml:space="preserve">Дополнительная информация</t>
  </si>
  <si>
    <t xml:space="preserve">Вконтакте</t>
  </si>
  <si>
    <t xml:space="preserve">Ваш E-mail</t>
  </si>
  <si>
    <t xml:space="preserve">Выберите курс (8-12 июля, первая пара)</t>
  </si>
  <si>
    <t xml:space="preserve">Выберите курс (8-12 июля, вторая пара)</t>
  </si>
  <si>
    <t xml:space="preserve">Выберите курс (14-20 июля, первая пара)</t>
  </si>
  <si>
    <t xml:space="preserve">Выберите курс (14-20 июля, вторая пара)</t>
  </si>
  <si>
    <t xml:space="preserve">Синельникова </t>
  </si>
  <si>
    <t xml:space="preserve">Поля</t>
  </si>
  <si>
    <t xml:space="preserve">Гимназия 19</t>
  </si>
  <si>
    <t xml:space="preserve">vk.com/aliceintowonderland</t>
  </si>
  <si>
    <t xml:space="preserve">rybkafu@mail.ru</t>
  </si>
  <si>
    <t xml:space="preserve">Теория потребителя</t>
  </si>
  <si>
    <t xml:space="preserve">Теория большого математика</t>
  </si>
  <si>
    <t xml:space="preserve">Питон</t>
  </si>
  <si>
    <t xml:space="preserve">Меня не будет в это время</t>
  </si>
  <si>
    <t xml:space="preserve">Усова</t>
  </si>
  <si>
    <t xml:space="preserve">Вероника</t>
  </si>
  <si>
    <t xml:space="preserve">https://vk.com/id451195781</t>
  </si>
  <si>
    <t xml:space="preserve">veronika.usova51@mail.ru</t>
  </si>
  <si>
    <t xml:space="preserve">Практическая психология</t>
  </si>
  <si>
    <t xml:space="preserve">От демократии к национализму: все о национальных меньшинствах в правовых системах мира</t>
  </si>
  <si>
    <t xml:space="preserve">Театр и кино втор. пол. XX века: теории и практики</t>
  </si>
  <si>
    <t xml:space="preserve">НЕсочинение: как написать текст, который прочтут до конца</t>
  </si>
  <si>
    <t xml:space="preserve">Шмидт</t>
  </si>
  <si>
    <t xml:space="preserve">Екатерина</t>
  </si>
  <si>
    <t xml:space="preserve">СОШ 7</t>
  </si>
  <si>
    <t xml:space="preserve">https://vk.com/id339456210</t>
  </si>
  <si>
    <t xml:space="preserve">rejlkata@gmail.com</t>
  </si>
  <si>
    <t xml:space="preserve">Английский</t>
  </si>
  <si>
    <t xml:space="preserve">Введение в макроэкономику</t>
  </si>
  <si>
    <t xml:space="preserve">Маркетинг</t>
  </si>
  <si>
    <t xml:space="preserve">Борисец </t>
  </si>
  <si>
    <t xml:space="preserve">Анастасия </t>
  </si>
  <si>
    <t xml:space="preserve">Нет</t>
  </si>
  <si>
    <t xml:space="preserve">sherlock.2002@mail.ru</t>
  </si>
  <si>
    <t xml:space="preserve">Не совсем наивная алгебра</t>
  </si>
  <si>
    <t xml:space="preserve">Мозговой штурм</t>
  </si>
  <si>
    <t xml:space="preserve">Турнирная химия</t>
  </si>
  <si>
    <t xml:space="preserve">Никифоров</t>
  </si>
  <si>
    <t xml:space="preserve">Лука</t>
  </si>
  <si>
    <t xml:space="preserve">https://vk.com/luka5s5</t>
  </si>
  <si>
    <t xml:space="preserve">lukanik29@gmail.com</t>
  </si>
  <si>
    <t xml:space="preserve">Знакомство с теорией графов</t>
  </si>
  <si>
    <t xml:space="preserve">Олимпиадная геометрия</t>
  </si>
  <si>
    <t xml:space="preserve">Анализ данных в биологии и IT</t>
  </si>
  <si>
    <t xml:space="preserve">Кривцова</t>
  </si>
  <si>
    <t xml:space="preserve">Анна</t>
  </si>
  <si>
    <t xml:space="preserve">Лицей 64</t>
  </si>
  <si>
    <t xml:space="preserve">Смогу быть только со второй половины:((</t>
  </si>
  <si>
    <t xml:space="preserve">https://m.vk.com/ann_1907</t>
  </si>
  <si>
    <t xml:space="preserve">kotya_1907@mail.ru</t>
  </si>
  <si>
    <t xml:space="preserve">Международное право</t>
  </si>
  <si>
    <t xml:space="preserve">Курочкин</t>
  </si>
  <si>
    <t xml:space="preserve">Тихон</t>
  </si>
  <si>
    <t xml:space="preserve">Гимназия 150</t>
  </si>
  <si>
    <t xml:space="preserve">https://vk.com/tixon2002</t>
  </si>
  <si>
    <t xml:space="preserve">apro1914@mail.ru</t>
  </si>
  <si>
    <t xml:space="preserve">Прикладное право</t>
  </si>
  <si>
    <t xml:space="preserve">Презентация, которую запомнят: инструкция по применению</t>
  </si>
  <si>
    <t xml:space="preserve">Джураева</t>
  </si>
  <si>
    <t xml:space="preserve">Рената</t>
  </si>
  <si>
    <t xml:space="preserve">лицей 64</t>
  </si>
  <si>
    <t xml:space="preserve">vk.com/renata_eva</t>
  </si>
  <si>
    <t xml:space="preserve">renata_dj@mail.ru</t>
  </si>
  <si>
    <t xml:space="preserve">Русское искусство</t>
  </si>
  <si>
    <t xml:space="preserve">Физика. Лабораторный практикум</t>
  </si>
  <si>
    <t xml:space="preserve">Исаева</t>
  </si>
  <si>
    <t xml:space="preserve">БОУ города Омска "Лицей № 64"</t>
  </si>
  <si>
    <t xml:space="preserve">https://vk.com/id247403526</t>
  </si>
  <si>
    <t xml:space="preserve">an88688na@mail.ru</t>
  </si>
  <si>
    <t xml:space="preserve">Каныгина</t>
  </si>
  <si>
    <t xml:space="preserve">Милана</t>
  </si>
  <si>
    <t xml:space="preserve">Гимназия 62</t>
  </si>
  <si>
    <t xml:space="preserve">Начну ходить с 9 июля</t>
  </si>
  <si>
    <t xml:space="preserve">vk.com/milanakanygina</t>
  </si>
  <si>
    <t xml:space="preserve">milana.kanygina@gmail.com</t>
  </si>
  <si>
    <t xml:space="preserve">Зачем нужна филология?</t>
  </si>
  <si>
    <t xml:space="preserve">Колесник</t>
  </si>
  <si>
    <t xml:space="preserve">Артём</t>
  </si>
  <si>
    <t xml:space="preserve">Лицей №64</t>
  </si>
  <si>
    <t xml:space="preserve">vk.com/somnusss</t>
  </si>
  <si>
    <t xml:space="preserve">steeltouch27@gmail.com</t>
  </si>
  <si>
    <t xml:space="preserve">R: работа со структурой данных</t>
  </si>
  <si>
    <t xml:space="preserve">Давыдова</t>
  </si>
  <si>
    <t xml:space="preserve">Елизавета</t>
  </si>
  <si>
    <t xml:space="preserve">БОУ ОО МОЦРО #117</t>
  </si>
  <si>
    <t xml:space="preserve">irina-davidoff@mail.ru</t>
  </si>
  <si>
    <t xml:space="preserve">Куличенко </t>
  </si>
  <si>
    <t xml:space="preserve">Катя</t>
  </si>
  <si>
    <t xml:space="preserve">Моцро 117</t>
  </si>
  <si>
    <t xml:space="preserve">https://vk.com/kulichenko2</t>
  </si>
  <si>
    <t xml:space="preserve">kate.kulich@mail.ru</t>
  </si>
  <si>
    <t xml:space="preserve">Попробуй не сойти с ума</t>
  </si>
  <si>
    <t xml:space="preserve">Введение в психосоматику</t>
  </si>
  <si>
    <t xml:space="preserve">Задворнов </t>
  </si>
  <si>
    <t xml:space="preserve">Славик</t>
  </si>
  <si>
    <t xml:space="preserve">БОУ "СОШ" 34</t>
  </si>
  <si>
    <t xml:space="preserve">Извините, я первокурсник</t>
  </si>
  <si>
    <t xml:space="preserve">vk.com/id209670944</t>
  </si>
  <si>
    <t xml:space="preserve">v.zadvornov@g.nsu.ru</t>
  </si>
  <si>
    <t xml:space="preserve">таранова</t>
  </si>
  <si>
    <t xml:space="preserve">екатерина</t>
  </si>
  <si>
    <t xml:space="preserve">сош№7</t>
  </si>
  <si>
    <t xml:space="preserve">https://vk.com/ktaranova3</t>
  </si>
  <si>
    <t xml:space="preserve">katataranova684@qmail.com</t>
  </si>
  <si>
    <t xml:space="preserve">Калиниченко </t>
  </si>
  <si>
    <t xml:space="preserve">Арсений</t>
  </si>
  <si>
    <t xml:space="preserve">https://vk.com/a.kalinechenko</t>
  </si>
  <si>
    <t xml:space="preserve">arsenka2034@gmail.com</t>
  </si>
  <si>
    <t xml:space="preserve">Теория множеств</t>
  </si>
  <si>
    <t xml:space="preserve">Рождественская </t>
  </si>
  <si>
    <t xml:space="preserve">Мария</t>
  </si>
  <si>
    <t xml:space="preserve">https://vk.com/m.christmas27</t>
  </si>
  <si>
    <t xml:space="preserve">m.christmas2708@gmail.com</t>
  </si>
  <si>
    <t xml:space="preserve">Введение в современный политический анализ</t>
  </si>
  <si>
    <t xml:space="preserve">Шадёркина</t>
  </si>
  <si>
    <t xml:space="preserve">Даша</t>
  </si>
  <si>
    <t xml:space="preserve">МОЦРО 117</t>
  </si>
  <si>
    <t xml:space="preserve">https://vk.com/shdrkn</t>
  </si>
  <si>
    <t xml:space="preserve">shaderkinadary@mail.ru</t>
  </si>
  <si>
    <t xml:space="preserve">Никитин</t>
  </si>
  <si>
    <t xml:space="preserve">Никита</t>
  </si>
  <si>
    <t xml:space="preserve">https://vk.com/flekser_from_sirius</t>
  </si>
  <si>
    <t xml:space="preserve">nikitanikitin2305@gmail.com</t>
  </si>
  <si>
    <t xml:space="preserve">Теория игр</t>
  </si>
  <si>
    <t xml:space="preserve">Скрипкина</t>
  </si>
  <si>
    <t xml:space="preserve">Вика</t>
  </si>
  <si>
    <t xml:space="preserve">Лицей 166</t>
  </si>
  <si>
    <t xml:space="preserve">Скорее всего я не буду посещать внеучебные мероприятия</t>
  </si>
  <si>
    <t xml:space="preserve">https://vk.com/id467293207</t>
  </si>
  <si>
    <t xml:space="preserve">Vika.skripkina.2017@mail.ru</t>
  </si>
  <si>
    <t xml:space="preserve">Недобойко</t>
  </si>
  <si>
    <t xml:space="preserve">Полина </t>
  </si>
  <si>
    <t xml:space="preserve">https://vk.com/p.nedoboyko</t>
  </si>
  <si>
    <t xml:space="preserve">polina5za97@mail.ru</t>
  </si>
  <si>
    <t xml:space="preserve">Барнёва</t>
  </si>
  <si>
    <t xml:space="preserve">Софья</t>
  </si>
  <si>
    <t xml:space="preserve">БОУ ОО «МОЦРО №117»</t>
  </si>
  <si>
    <t xml:space="preserve">https://vk.com/sofya_barneva</t>
  </si>
  <si>
    <t xml:space="preserve">sbarnyova@icloud.com</t>
  </si>
  <si>
    <t xml:space="preserve">Физика и жизнь</t>
  </si>
  <si>
    <t xml:space="preserve">Щукина </t>
  </si>
  <si>
    <t xml:space="preserve">Елена </t>
  </si>
  <si>
    <t xml:space="preserve">12 гимназия </t>
  </si>
  <si>
    <t xml:space="preserve">https://vk.com/id452262359</t>
  </si>
  <si>
    <t xml:space="preserve">lenatpc2005@gmail.com</t>
  </si>
  <si>
    <t xml:space="preserve">Немного комбинаторики и теория вероятности</t>
  </si>
  <si>
    <t xml:space="preserve">рожкова</t>
  </si>
  <si>
    <t xml:space="preserve">Ключевская школа</t>
  </si>
  <si>
    <t xml:space="preserve">https://vk.com/id390700568</t>
  </si>
  <si>
    <t xml:space="preserve">vika.rozhkova.05@bk.ru</t>
  </si>
  <si>
    <t xml:space="preserve">Васильева</t>
  </si>
  <si>
    <t xml:space="preserve">Мария </t>
  </si>
  <si>
    <t xml:space="preserve">БОУ ОО "МОЦРО 117"</t>
  </si>
  <si>
    <t xml:space="preserve">сэдмашка (sadmaris) на связи</t>
  </si>
  <si>
    <t xml:space="preserve">https://vk.com/mane4kaw</t>
  </si>
  <si>
    <t xml:space="preserve">vas-77077@mail.ru</t>
  </si>
  <si>
    <t xml:space="preserve">m.v.shmidt@mail.ru</t>
  </si>
  <si>
    <t xml:space="preserve">Тепляшина </t>
  </si>
  <si>
    <t xml:space="preserve">Гимназия №139</t>
  </si>
  <si>
    <t xml:space="preserve">https://vk.com/id254419335 </t>
  </si>
  <si>
    <t xml:space="preserve">nastyat1805@gmail.com</t>
  </si>
  <si>
    <t xml:space="preserve">Локтева </t>
  </si>
  <si>
    <t xml:space="preserve">Гимназия 26 </t>
  </si>
  <si>
    <t xml:space="preserve"> </t>
  </si>
  <si>
    <t xml:space="preserve">https://m.vk.com/polina_l16</t>
  </si>
  <si>
    <t xml:space="preserve">pol050403@yandex.ru</t>
  </si>
  <si>
    <t xml:space="preserve">Жирнов</t>
  </si>
  <si>
    <t xml:space="preserve">С самого начала</t>
  </si>
  <si>
    <t xml:space="preserve">https://vk.com/id535081485</t>
  </si>
  <si>
    <t xml:space="preserve">paidenpaiden@mail.ru</t>
  </si>
  <si>
    <t xml:space="preserve">Гуртовенко</t>
  </si>
  <si>
    <t xml:space="preserve">Юлия</t>
  </si>
  <si>
    <t xml:space="preserve">БОУ МОЦРО ОО №117</t>
  </si>
  <si>
    <t xml:space="preserve">vk.com/id254401565</t>
  </si>
  <si>
    <t xml:space="preserve">surprise.trap@gmail.com</t>
  </si>
  <si>
    <t xml:space="preserve">Удовиченко </t>
  </si>
  <si>
    <t xml:space="preserve">"Моцро 117"</t>
  </si>
  <si>
    <t xml:space="preserve">https://vk.com/vudovichenkov</t>
  </si>
  <si>
    <t xml:space="preserve">v.udov04@mail.ru</t>
  </si>
  <si>
    <t xml:space="preserve">Шмалько</t>
  </si>
  <si>
    <t xml:space="preserve">Михаил</t>
  </si>
  <si>
    <t xml:space="preserve">МОЦРО 117 </t>
  </si>
  <si>
    <t xml:space="preserve">Не смогу посещать занятия после 17-го июля.</t>
  </si>
  <si>
    <t xml:space="preserve">https://vk.com/squadrista</t>
  </si>
  <si>
    <t xml:space="preserve">treizorz@gmail.com</t>
  </si>
  <si>
    <t xml:space="preserve">Климова</t>
  </si>
  <si>
    <t xml:space="preserve">Яна</t>
  </si>
  <si>
    <t xml:space="preserve">БОУ ОО МОЦРО 117</t>
  </si>
  <si>
    <t xml:space="preserve">Я бы хотела начать обучение с 13 июля </t>
  </si>
  <si>
    <t xml:space="preserve">https://vk.com/id269184131</t>
  </si>
  <si>
    <t xml:space="preserve">mariaklimova55@yandex.ru</t>
  </si>
  <si>
    <t xml:space="preserve">Добрый день, извините за отправку дублирующей регистрации,но выбранный курс Физика.Лаб.практикум,указан ошибочно в первой заявке.Верный:Не совсем наивная алгебра.Спасибо.</t>
  </si>
  <si>
    <t xml:space="preserve">Сушкова</t>
  </si>
  <si>
    <t xml:space="preserve">Ксения</t>
  </si>
  <si>
    <t xml:space="preserve">Гимназия 117</t>
  </si>
  <si>
    <t xml:space="preserve">https://vk.com/id539493679</t>
  </si>
  <si>
    <t xml:space="preserve">kseniyasushkova@mail.com</t>
  </si>
  <si>
    <t xml:space="preserve">Деркач</t>
  </si>
  <si>
    <t xml:space="preserve">Александра</t>
  </si>
  <si>
    <t xml:space="preserve">https://vk.com/aderkach2017</t>
  </si>
  <si>
    <t xml:space="preserve">xenia_derkach@mail.ru</t>
  </si>
  <si>
    <t xml:space="preserve">Макарова</t>
  </si>
  <si>
    <t xml:space="preserve">Лицей 74</t>
  </si>
  <si>
    <t xml:space="preserve">https://vk.com/elimaksi</t>
  </si>
  <si>
    <t xml:space="preserve">elimaksi@bk.ru</t>
  </si>
  <si>
    <t xml:space="preserve">Ильин</t>
  </si>
  <si>
    <t xml:space="preserve">Я смогу начать обучение только с 13 числа</t>
  </si>
  <si>
    <t xml:space="preserve">https://vk.com/id250886985</t>
  </si>
  <si>
    <t xml:space="preserve">nikita190104@mail.ru</t>
  </si>
  <si>
    <t xml:space="preserve">Дизер</t>
  </si>
  <si>
    <t xml:space="preserve">Валерия</t>
  </si>
  <si>
    <t xml:space="preserve">БОУ ОО "МОЦРО 117" </t>
  </si>
  <si>
    <t xml:space="preserve">https://vk.com/id333898320</t>
  </si>
  <si>
    <t xml:space="preserve">dizer.2802@gmail.com</t>
  </si>
  <si>
    <t xml:space="preserve">Ракова</t>
  </si>
  <si>
    <t xml:space="preserve">МОЦРО</t>
  </si>
  <si>
    <t xml:space="preserve">https://vk.com/id341567849</t>
  </si>
  <si>
    <t xml:space="preserve">rakovaliza06@gmail.com</t>
  </si>
  <si>
    <t xml:space="preserve">Фирстова</t>
  </si>
  <si>
    <t xml:space="preserve">БОУ "Лицей №64"</t>
  </si>
  <si>
    <t xml:space="preserve">vk.com/karmaa_police</t>
  </si>
  <si>
    <t xml:space="preserve">firstovakatya42@gmail.com</t>
  </si>
  <si>
    <t xml:space="preserve">Зайцева</t>
  </si>
  <si>
    <t xml:space="preserve">Марина</t>
  </si>
  <si>
    <t xml:space="preserve">Лицей 149</t>
  </si>
  <si>
    <t xml:space="preserve">https://vk.com/zzaitceva</t>
  </si>
  <si>
    <t xml:space="preserve">zzaitcevaz_z@mail.ru</t>
  </si>
  <si>
    <t xml:space="preserve">Братухина </t>
  </si>
  <si>
    <t xml:space="preserve">Альбина</t>
  </si>
  <si>
    <t xml:space="preserve">БОУ Гимназия 139</t>
  </si>
  <si>
    <t xml:space="preserve">https://vk.com/id494021182</t>
  </si>
  <si>
    <t xml:space="preserve">Al-brat@mail.ru</t>
  </si>
  <si>
    <t xml:space="preserve">Устымчук</t>
  </si>
  <si>
    <t xml:space="preserve">vk.com/sestroslava </t>
  </si>
  <si>
    <t xml:space="preserve">sofya.ustymchuk@yandex.ru</t>
  </si>
  <si>
    <t xml:space="preserve">Ремизова</t>
  </si>
  <si>
    <t xml:space="preserve">Ульяна</t>
  </si>
  <si>
    <t xml:space="preserve">https://vk.com/rem.joui</t>
  </si>
  <si>
    <t xml:space="preserve">ul.remizova@yandex.ru</t>
  </si>
  <si>
    <t xml:space="preserve">Горчакова</t>
  </si>
  <si>
    <t xml:space="preserve">Ярослава</t>
  </si>
  <si>
    <t xml:space="preserve">https://vk.com/id238150808</t>
  </si>
  <si>
    <t xml:space="preserve">oksana-gorchakova@mail.ru</t>
  </si>
  <si>
    <t xml:space="preserve">Кузин </t>
  </si>
  <si>
    <t xml:space="preserve">https://vk.com/shdoo</t>
  </si>
  <si>
    <t xml:space="preserve">nikitaxg@yandex.ru</t>
  </si>
  <si>
    <t xml:space="preserve">Прохоров</t>
  </si>
  <si>
    <t xml:space="preserve">Сергей</t>
  </si>
  <si>
    <t xml:space="preserve">БОУ г.Омска Гимназия №139</t>
  </si>
  <si>
    <t xml:space="preserve">https://m.vk.com/sergey.prokhorov2000</t>
  </si>
  <si>
    <t xml:space="preserve">sergeyproinb@gmail.com</t>
  </si>
  <si>
    <t xml:space="preserve">Терехова</t>
  </si>
  <si>
    <t xml:space="preserve">https://vk.com/id318731608</t>
  </si>
  <si>
    <t xml:space="preserve">sonofthenight7@mail.ru</t>
  </si>
  <si>
    <t xml:space="preserve">Асаинов</t>
  </si>
  <si>
    <t xml:space="preserve">Дарий</t>
  </si>
  <si>
    <t xml:space="preserve">https://vk.com/id435651592</t>
  </si>
  <si>
    <t xml:space="preserve">dasainov@inbox.ru</t>
  </si>
  <si>
    <t xml:space="preserve">Чебакова</t>
  </si>
  <si>
    <t xml:space="preserve">Майя</t>
  </si>
  <si>
    <t xml:space="preserve">https://vk.com/sillicium</t>
  </si>
  <si>
    <t xml:space="preserve">sir.stannow@yandex.ru</t>
  </si>
  <si>
    <t xml:space="preserve">Дмитриева </t>
  </si>
  <si>
    <t xml:space="preserve">Елизавета </t>
  </si>
  <si>
    <t xml:space="preserve">БОУ Гимназия № 139</t>
  </si>
  <si>
    <t xml:space="preserve">vk.com/yoneeth</t>
  </si>
  <si>
    <t xml:space="preserve">juravlikjur@gmail.com</t>
  </si>
  <si>
    <t xml:space="preserve">Геталова</t>
  </si>
  <si>
    <t xml:space="preserve">Ирина</t>
  </si>
  <si>
    <t xml:space="preserve">Школа №36</t>
  </si>
  <si>
    <t xml:space="preserve">https://vk.com/ira_getalova</t>
  </si>
  <si>
    <t xml:space="preserve">getalovais@mail.ru</t>
  </si>
  <si>
    <t xml:space="preserve">Кудайбергенова</t>
  </si>
  <si>
    <t xml:space="preserve">Даяна</t>
  </si>
  <si>
    <t xml:space="preserve">БОУ г.Омска “Гимназия №85”</t>
  </si>
  <si>
    <t xml:space="preserve">vk.com/gooddayana</t>
  </si>
  <si>
    <t xml:space="preserve">dajna26@mail.ru</t>
  </si>
  <si>
    <t xml:space="preserve">Кузин</t>
  </si>
  <si>
    <t xml:space="preserve">Илья</t>
  </si>
  <si>
    <t xml:space="preserve">149 лицей</t>
  </si>
  <si>
    <t xml:space="preserve">могу быть не весь день в школе</t>
  </si>
  <si>
    <t xml:space="preserve">vk.com/ilya_kuzin</t>
  </si>
  <si>
    <t xml:space="preserve">kuz1n.ilya@yandex.ru</t>
  </si>
  <si>
    <t xml:space="preserve">Папакина</t>
  </si>
  <si>
    <t xml:space="preserve">s.papakina</t>
  </si>
  <si>
    <t xml:space="preserve">spapakina@bk.ru</t>
  </si>
  <si>
    <t xml:space="preserve">Крючков</t>
  </si>
  <si>
    <t xml:space="preserve">Боу г Омска Лицей66</t>
  </si>
  <si>
    <t xml:space="preserve">vk.com/mihagg01</t>
  </si>
  <si>
    <t xml:space="preserve">mihagg018@gmail.com</t>
  </si>
  <si>
    <t xml:space="preserve">Измайлов</t>
  </si>
  <si>
    <t xml:space="preserve">Матвей</t>
  </si>
  <si>
    <t xml:space="preserve">Не смогу присутствовать на занятиях с 12 или 15 июля и до конца сигмы.</t>
  </si>
  <si>
    <t xml:space="preserve">https://vk.com/jewomskiy</t>
  </si>
  <si>
    <t xml:space="preserve">matti1zzzz235@gmail.com</t>
  </si>
  <si>
    <t xml:space="preserve">Мобильный геймдев (первая часть)</t>
  </si>
  <si>
    <t xml:space="preserve">Орешин</t>
  </si>
  <si>
    <t xml:space="preserve">Константин </t>
  </si>
  <si>
    <t xml:space="preserve">  БОУ ОО "МОЦРО №117"</t>
  </si>
  <si>
    <t xml:space="preserve">7bunu</t>
  </si>
  <si>
    <t xml:space="preserve">koreshin67@gmail.com</t>
  </si>
  <si>
    <t xml:space="preserve">Кочурова</t>
  </si>
  <si>
    <t xml:space="preserve">БОУ ОО "МОЦРО №117"</t>
  </si>
  <si>
    <t xml:space="preserve">https://vk.com/id308817000</t>
  </si>
  <si>
    <t xml:space="preserve">oa_ko4yrova@mail.ru</t>
  </si>
  <si>
    <t xml:space="preserve">Захаров</t>
  </si>
  <si>
    <t xml:space="preserve">https://vk.com/id217815318</t>
  </si>
  <si>
    <t xml:space="preserve">matvey.zakharov.00@bk.ru</t>
  </si>
  <si>
    <t xml:space="preserve">Рядовой</t>
  </si>
  <si>
    <t xml:space="preserve">Тимофей</t>
  </si>
  <si>
    <t xml:space="preserve">моцро </t>
  </si>
  <si>
    <t xml:space="preserve">https://vk.com/timfencing</t>
  </si>
  <si>
    <t xml:space="preserve">tim.ryadovou55@mail.ru</t>
  </si>
  <si>
    <t xml:space="preserve">Инженерная и компьютерная графика, начертательная геометрия</t>
  </si>
  <si>
    <t xml:space="preserve">Моргун </t>
  </si>
  <si>
    <t xml:space="preserve">Иван</t>
  </si>
  <si>
    <t xml:space="preserve">https://vk.com/mi.morgun.ivan</t>
  </si>
  <si>
    <t xml:space="preserve">mi.morgun.ivan@mail.ru</t>
  </si>
  <si>
    <t xml:space="preserve">Сумленинова</t>
  </si>
  <si>
    <t xml:space="preserve">Полина</t>
  </si>
  <si>
    <t xml:space="preserve">https://m.vk.com/sumleninova</t>
  </si>
  <si>
    <t xml:space="preserve">polisha2004@mail.ru</t>
  </si>
  <si>
    <t xml:space="preserve">Яковлева</t>
  </si>
  <si>
    <t xml:space="preserve">Евгения</t>
  </si>
  <si>
    <t xml:space="preserve">https://vk.com/irassion</t>
  </si>
  <si>
    <t xml:space="preserve">irassion@mail.ru</t>
  </si>
  <si>
    <t xml:space="preserve">Нуркушева</t>
  </si>
  <si>
    <t xml:space="preserve">Асель</t>
  </si>
  <si>
    <t xml:space="preserve">Весь день</t>
  </si>
  <si>
    <t xml:space="preserve">https://vk.com/aselnurkusheva</t>
  </si>
  <si>
    <t xml:space="preserve">a_nurkusheva@mail.ru</t>
  </si>
  <si>
    <t xml:space="preserve">Мужева</t>
  </si>
  <si>
    <t xml:space="preserve">https://vk.com/id189048907</t>
  </si>
  <si>
    <t xml:space="preserve">kmuzheva@mail.ru</t>
  </si>
  <si>
    <t xml:space="preserve">Локтионова</t>
  </si>
  <si>
    <t xml:space="preserve">Даниэла</t>
  </si>
  <si>
    <t xml:space="preserve">БОУ г. Омска "Лицей 64" </t>
  </si>
  <si>
    <t xml:space="preserve">https://m.vk.com/sweet1peach</t>
  </si>
  <si>
    <t xml:space="preserve">daniellasky876@gmail.com</t>
  </si>
  <si>
    <t xml:space="preserve">Гулькин</t>
  </si>
  <si>
    <t xml:space="preserve">https://vk.com/gulintvagen</t>
  </si>
  <si>
    <t xml:space="preserve">isgulkin20@gmail.com</t>
  </si>
  <si>
    <t xml:space="preserve">Зернюк</t>
  </si>
  <si>
    <t xml:space="preserve">Андрей</t>
  </si>
  <si>
    <t xml:space="preserve">https://vk.com/andreyzerniuk30</t>
  </si>
  <si>
    <t xml:space="preserve">andrei.zerniuk@gmail.com</t>
  </si>
  <si>
    <t xml:space="preserve">Сидоров</t>
  </si>
  <si>
    <t xml:space="preserve">МОЦРО#117</t>
  </si>
  <si>
    <t xml:space="preserve">https://vk.com/nsidorov2001</t>
  </si>
  <si>
    <t xml:space="preserve">nikita.sidorov666@mail.ru</t>
  </si>
  <si>
    <t xml:space="preserve">Фёдорова</t>
  </si>
  <si>
    <t xml:space="preserve">БОУ "Гимназия 140"</t>
  </si>
  <si>
    <t xml:space="preserve">https://vk.com/inaeternum16</t>
  </si>
  <si>
    <t xml:space="preserve">Kseniya_bja_mrp_fet@mail.ru</t>
  </si>
  <si>
    <t xml:space="preserve">Гебель</t>
  </si>
  <si>
    <t xml:space="preserve">https://vk.com/id397630639</t>
  </si>
  <si>
    <t xml:space="preserve">gebelpolina169@gmail.com</t>
  </si>
  <si>
    <t xml:space="preserve">Белим </t>
  </si>
  <si>
    <t xml:space="preserve">Екатерина </t>
  </si>
  <si>
    <t xml:space="preserve">БОУ ОО «МОЦРО 117»</t>
  </si>
  <si>
    <t xml:space="preserve">vk.com/belimcatherine</t>
  </si>
  <si>
    <t xml:space="preserve">katya.belim@yandex.ru</t>
  </si>
  <si>
    <t xml:space="preserve">Полищук</t>
  </si>
  <si>
    <t xml:space="preserve">БОУ Гимназия 19</t>
  </si>
  <si>
    <t xml:space="preserve">Смогу участвовать только до 13</t>
  </si>
  <si>
    <t xml:space="preserve">vk.com/id245076479</t>
  </si>
  <si>
    <t xml:space="preserve">anna_polischuk23@mail.ru</t>
  </si>
  <si>
    <t xml:space="preserve">Серобабина </t>
  </si>
  <si>
    <t xml:space="preserve">69 гимназия</t>
  </si>
  <si>
    <t xml:space="preserve">vk.com/serobabinaa</t>
  </si>
  <si>
    <t xml:space="preserve">yserobabina@gmail.com</t>
  </si>
  <si>
    <t xml:space="preserve">Квинт</t>
  </si>
  <si>
    <t xml:space="preserve">Элиас</t>
  </si>
  <si>
    <t xml:space="preserve">Лицей 92</t>
  </si>
  <si>
    <t xml:space="preserve">Возможно смогу присоединиться спустя несколько дней после начала.</t>
  </si>
  <si>
    <t xml:space="preserve">https://vk.com/eliaskvint</t>
  </si>
  <si>
    <t xml:space="preserve">eliaskvint2000@gmail.com</t>
  </si>
  <si>
    <t xml:space="preserve">Ячменёва</t>
  </si>
  <si>
    <t xml:space="preserve">Василиса</t>
  </si>
  <si>
    <t xml:space="preserve">Гимназия №140</t>
  </si>
  <si>
    <t xml:space="preserve">-</t>
  </si>
  <si>
    <t xml:space="preserve">https://vk.com/versus_house</t>
  </si>
  <si>
    <t xml:space="preserve">allonso32@gmail.com</t>
  </si>
  <si>
    <t xml:space="preserve">Драгунова</t>
  </si>
  <si>
    <t xml:space="preserve">Гимназия 140</t>
  </si>
  <si>
    <t xml:space="preserve">https://vk.com/unssonn</t>
  </si>
  <si>
    <t xml:space="preserve">kboych850@gmail.com</t>
  </si>
  <si>
    <t xml:space="preserve">Драгунова </t>
  </si>
  <si>
    <t xml:space="preserve">Ксения </t>
  </si>
  <si>
    <t xml:space="preserve">Гимназия 140 </t>
  </si>
  <si>
    <t xml:space="preserve">https://m.vk.com/unssonn</t>
  </si>
  <si>
    <t xml:space="preserve">Волобуева</t>
  </si>
  <si>
    <t xml:space="preserve">Настя</t>
  </si>
  <si>
    <t xml:space="preserve">Школа №104</t>
  </si>
  <si>
    <t xml:space="preserve">https://vk.com/anastasiavol</t>
  </si>
  <si>
    <t xml:space="preserve">bodhisattvastasia@gmail.com</t>
  </si>
  <si>
    <t xml:space="preserve">Бурляев</t>
  </si>
  <si>
    <t xml:space="preserve">МОЦРО №117</t>
  </si>
  <si>
    <t xml:space="preserve">https://m.vk.com/id152267404</t>
  </si>
  <si>
    <t xml:space="preserve">ilya1burlyaev@mail.ru</t>
  </si>
  <si>
    <t xml:space="preserve">Долгова</t>
  </si>
  <si>
    <t xml:space="preserve">Моцро №117</t>
  </si>
  <si>
    <t xml:space="preserve">https://vk.com/anna_dolgova2004</t>
  </si>
  <si>
    <t xml:space="preserve">anna.dolgova.2004@mail.ru</t>
  </si>
  <si>
    <t xml:space="preserve">Шестаков</t>
  </si>
  <si>
    <t xml:space="preserve">https://vk.com/electrik08</t>
  </si>
  <si>
    <t xml:space="preserve">mishashestakov080802@mail.ru</t>
  </si>
  <si>
    <t xml:space="preserve">Куприенко</t>
  </si>
  <si>
    <t xml:space="preserve">vk.com/myfakk</t>
  </si>
  <si>
    <t xml:space="preserve">kup.yalon@gmail.com</t>
  </si>
  <si>
    <t xml:space="preserve">Шаповал</t>
  </si>
  <si>
    <t xml:space="preserve">Денис</t>
  </si>
  <si>
    <t xml:space="preserve">Гимназия №150</t>
  </si>
  <si>
    <t xml:space="preserve">vk.com/denisshapoval</t>
  </si>
  <si>
    <t xml:space="preserve">denisshapoval1@yandex.ru</t>
  </si>
  <si>
    <t xml:space="preserve">Анохина </t>
  </si>
  <si>
    <t xml:space="preserve">БОУ ОО "МОЦРО" 117</t>
  </si>
  <si>
    <t xml:space="preserve">https://vk.com/polinko_malinko</t>
  </si>
  <si>
    <t xml:space="preserve">anokhinaa04@mail.ru</t>
  </si>
  <si>
    <t xml:space="preserve">Проворкина</t>
  </si>
  <si>
    <t xml:space="preserve">Анастасия</t>
  </si>
  <si>
    <t xml:space="preserve">БОУ "СОШ №142"</t>
  </si>
  <si>
    <t xml:space="preserve">https://vk.com/id138745585</t>
  </si>
  <si>
    <t xml:space="preserve">nastja-p@mail.ru</t>
  </si>
  <si>
    <t xml:space="preserve">Кошевая</t>
  </si>
  <si>
    <t xml:space="preserve">https://vk.com/id249818753</t>
  </si>
  <si>
    <t xml:space="preserve">a_koshevaya.03@mail.ru</t>
  </si>
  <si>
    <t xml:space="preserve">Хохлов </t>
  </si>
  <si>
    <t xml:space="preserve">Александр</t>
  </si>
  <si>
    <t xml:space="preserve">БОУ ОО "МОЦРО #117"</t>
  </si>
  <si>
    <t xml:space="preserve">vk.com/sasashasas</t>
  </si>
  <si>
    <t xml:space="preserve">klier@inbox.ru</t>
  </si>
  <si>
    <t xml:space="preserve">Муравьева</t>
  </si>
  <si>
    <t xml:space="preserve">17 июля уезжаю</t>
  </si>
  <si>
    <t xml:space="preserve">vk.com/muravyeva2012</t>
  </si>
  <si>
    <t xml:space="preserve">maria.m2002@mail.ru</t>
  </si>
  <si>
    <t xml:space="preserve">Ушакова</t>
  </si>
  <si>
    <t xml:space="preserve">Любовь</t>
  </si>
  <si>
    <t xml:space="preserve">БОУ ОО «МОЦРО №177»</t>
  </si>
  <si>
    <t xml:space="preserve">https://m.vk.com/liub04ka</t>
  </si>
  <si>
    <t xml:space="preserve">Luba2004@inbox.ru</t>
  </si>
  <si>
    <t xml:space="preserve">Шлыкова</t>
  </si>
  <si>
    <t xml:space="preserve">Валерия </t>
  </si>
  <si>
    <t xml:space="preserve">vk.com/shlykova_valeriya</t>
  </si>
  <si>
    <t xml:space="preserve">shlykova.valeriya09@mail.ru</t>
  </si>
  <si>
    <t xml:space="preserve">Моисеева</t>
  </si>
  <si>
    <t xml:space="preserve">https://vk.com/id276675815</t>
  </si>
  <si>
    <t xml:space="preserve">tonia.1976@mail.ru</t>
  </si>
  <si>
    <t xml:space="preserve">Ткаченко</t>
  </si>
  <si>
    <t xml:space="preserve">БОУ г.Омска "Гимназия №139"</t>
  </si>
  <si>
    <t xml:space="preserve">https://vk.com/id239500086</t>
  </si>
  <si>
    <t xml:space="preserve">yulya_oleg@mail.ru</t>
  </si>
  <si>
    <t xml:space="preserve">Шишко</t>
  </si>
  <si>
    <t xml:space="preserve">Алёна </t>
  </si>
  <si>
    <t xml:space="preserve">БОУ ОО "МОЦРО №117" </t>
  </si>
  <si>
    <t xml:space="preserve">https://vk.com/id308485017</t>
  </si>
  <si>
    <t xml:space="preserve">alena_shishko@inbox.ru</t>
  </si>
  <si>
    <t xml:space="preserve">Ходарина</t>
  </si>
  <si>
    <t xml:space="preserve">Алина</t>
  </si>
  <si>
    <t xml:space="preserve">Лицей №149</t>
  </si>
  <si>
    <t xml:space="preserve">vk.com/ijustwannahearyouscreamagain</t>
  </si>
  <si>
    <t xml:space="preserve">alina_hodarina@mail.ru</t>
  </si>
  <si>
    <t xml:space="preserve">Логинов</t>
  </si>
  <si>
    <t xml:space="preserve">Владислав</t>
  </si>
  <si>
    <t xml:space="preserve">БОУ ОО МОЦРО №117</t>
  </si>
  <si>
    <t xml:space="preserve">https://vk.com/id195904823</t>
  </si>
  <si>
    <t xml:space="preserve">vlad-log03@mail.ru</t>
  </si>
  <si>
    <t xml:space="preserve">Бахмутский </t>
  </si>
  <si>
    <t xml:space="preserve">https://vk.com/qwartal13</t>
  </si>
  <si>
    <t xml:space="preserve">andremutskiy@mail.ru</t>
  </si>
  <si>
    <t xml:space="preserve">Цифровая электроника</t>
  </si>
  <si>
    <t xml:space="preserve">Пьянзин</t>
  </si>
  <si>
    <t xml:space="preserve">Богдан</t>
  </si>
  <si>
    <t xml:space="preserve">БОУ ОО «МОЦРО № 117»</t>
  </si>
  <si>
    <t xml:space="preserve">https://vk.com/bpyanzin</t>
  </si>
  <si>
    <t xml:space="preserve">b.pyanzin@gmail.com</t>
  </si>
  <si>
    <t xml:space="preserve">Вольф</t>
  </si>
  <si>
    <t xml:space="preserve">БОУ ОО МОЦРО 117 </t>
  </si>
  <si>
    <t xml:space="preserve">https://vk.com/id418432876</t>
  </si>
  <si>
    <t xml:space="preserve">volf.katya.0308@gmail.com</t>
  </si>
  <si>
    <t xml:space="preserve">Комнацкий</t>
  </si>
  <si>
    <t xml:space="preserve">СУНЦ МГУ</t>
  </si>
  <si>
    <t xml:space="preserve">https://vk.com/crazyjokerequallynewcrazy</t>
  </si>
  <si>
    <t xml:space="preserve">komnackii_aleks@mail.ru</t>
  </si>
  <si>
    <t xml:space="preserve">Лапаницына</t>
  </si>
  <si>
    <t xml:space="preserve">Лицей №137</t>
  </si>
  <si>
    <t xml:space="preserve">vk.com/byheart_chaika</t>
  </si>
  <si>
    <t xml:space="preserve">anna.lapachka@gmail.com</t>
  </si>
  <si>
    <t xml:space="preserve">Линкер</t>
  </si>
  <si>
    <t xml:space="preserve">https://vk.com/katelinker</t>
  </si>
  <si>
    <t xml:space="preserve">kirinchik1@gmail.com</t>
  </si>
  <si>
    <t xml:space="preserve">Малёнов</t>
  </si>
  <si>
    <t xml:space="preserve">Гимназия 139</t>
  </si>
  <si>
    <t xml:space="preserve">vk.com/imagineonfire</t>
  </si>
  <si>
    <t xml:space="preserve">artekrosh@mail.ru</t>
  </si>
  <si>
    <t xml:space="preserve">Кокшарова</t>
  </si>
  <si>
    <t xml:space="preserve">vk.com/musical_mary</t>
  </si>
  <si>
    <t xml:space="preserve">masha.kok7383@gmail.com</t>
  </si>
  <si>
    <t xml:space="preserve">Михайленко</t>
  </si>
  <si>
    <t xml:space="preserve">Владимир</t>
  </si>
  <si>
    <t xml:space="preserve">БОУ г. Омска "Лицей №25"</t>
  </si>
  <si>
    <t xml:space="preserve">https://vk.com/volvo2005</t>
  </si>
  <si>
    <t xml:space="preserve">volvo1801@yandex.ru</t>
  </si>
  <si>
    <t xml:space="preserve">Коломиец</t>
  </si>
  <si>
    <t xml:space="preserve">Лицей 29</t>
  </si>
  <si>
    <t xml:space="preserve">https://vk.com/id479109984</t>
  </si>
  <si>
    <t xml:space="preserve">masha15102003@yandex.ru</t>
  </si>
  <si>
    <t xml:space="preserve">Власенко</t>
  </si>
  <si>
    <t xml:space="preserve">Гимназия 84</t>
  </si>
  <si>
    <t xml:space="preserve">vk.com/vlas.vanya</t>
  </si>
  <si>
    <t xml:space="preserve">vlasival@gmail.com</t>
  </si>
  <si>
    <t xml:space="preserve">Григорьев </t>
  </si>
  <si>
    <t xml:space="preserve">setfwdgsgs@gmail.com</t>
  </si>
  <si>
    <t xml:space="preserve">Качанова</t>
  </si>
  <si>
    <t xml:space="preserve">https://vk.com/id185708014</t>
  </si>
  <si>
    <t xml:space="preserve">89081006043@mail.ru</t>
  </si>
  <si>
    <t xml:space="preserve">Протченко </t>
  </si>
  <si>
    <t xml:space="preserve">БОУ ОО «МОЦРО #117»</t>
  </si>
  <si>
    <t xml:space="preserve">vk.com/anasta_pro</t>
  </si>
  <si>
    <t xml:space="preserve">protchenko-anastasiya-sergeevna@mail.ru</t>
  </si>
  <si>
    <t xml:space="preserve">Назаренко</t>
  </si>
  <si>
    <t xml:space="preserve">Данила</t>
  </si>
  <si>
    <t xml:space="preserve">График пока неизвестен</t>
  </si>
  <si>
    <t xml:space="preserve">vk.com/goldnil</t>
  </si>
  <si>
    <t xml:space="preserve">danila.nazarenko13@mail.ru</t>
  </si>
  <si>
    <t xml:space="preserve">Богун</t>
  </si>
  <si>
    <t xml:space="preserve">Сабина</t>
  </si>
  <si>
    <t xml:space="preserve">https://vk.com/id188855311</t>
  </si>
  <si>
    <t xml:space="preserve">bogunsabina@gmail.com</t>
  </si>
  <si>
    <t xml:space="preserve">Гасилен</t>
  </si>
  <si>
    <t xml:space="preserve">https://vk.com/id300520380</t>
  </si>
  <si>
    <t xml:space="preserve">gasilen@mail.ru</t>
  </si>
  <si>
    <t xml:space="preserve">Добролежа</t>
  </si>
  <si>
    <t xml:space="preserve">Олеся</t>
  </si>
  <si>
    <t xml:space="preserve">vk.com/id469538160</t>
  </si>
  <si>
    <t xml:space="preserve">olegha2000@gmail.com</t>
  </si>
  <si>
    <t xml:space="preserve">Алексеев </t>
  </si>
  <si>
    <t xml:space="preserve">https://vk.com/likeman177</t>
  </si>
  <si>
    <t xml:space="preserve">westbull@yandex.ru</t>
  </si>
  <si>
    <t xml:space="preserve">Суханова</t>
  </si>
  <si>
    <t xml:space="preserve">https://vk.com/love2006alena8</t>
  </si>
  <si>
    <t xml:space="preserve">alyonash1967@mail.ru</t>
  </si>
  <si>
    <t xml:space="preserve">Сафронова</t>
  </si>
  <si>
    <t xml:space="preserve">Гимназия №26</t>
  </si>
  <si>
    <t xml:space="preserve">https://vk.com/id473918755</t>
  </si>
  <si>
    <t xml:space="preserve">natasafronowa79@yandex.ru</t>
  </si>
  <si>
    <t xml:space="preserve">Ровенских</t>
  </si>
  <si>
    <t xml:space="preserve">могу посещать занятия до 16 или 17 июля</t>
  </si>
  <si>
    <t xml:space="preserve">vk.com/mrov29</t>
  </si>
  <si>
    <t xml:space="preserve">aliona.rovenskikh@gmail.com</t>
  </si>
  <si>
    <t xml:space="preserve">Петров</t>
  </si>
  <si>
    <t xml:space="preserve">vk.com/vladimir.petrov2016</t>
  </si>
  <si>
    <t xml:space="preserve">vovaboy3000@mail.ru</t>
  </si>
  <si>
    <t xml:space="preserve">Самохвалова</t>
  </si>
  <si>
    <t xml:space="preserve">Академический лицей</t>
  </si>
  <si>
    <t xml:space="preserve">нет</t>
  </si>
  <si>
    <t xml:space="preserve">Samoxvalova67@list.ru</t>
  </si>
  <si>
    <t xml:space="preserve">Каяшов</t>
  </si>
  <si>
    <t xml:space="preserve">Даниил</t>
  </si>
  <si>
    <t xml:space="preserve">vk.com/totallynothelix</t>
  </si>
  <si>
    <t xml:space="preserve">totallynothelix@gmail.com</t>
  </si>
  <si>
    <t xml:space="preserve">Лисина</t>
  </si>
  <si>
    <t xml:space="preserve">БОУ Гимназия 150</t>
  </si>
  <si>
    <t xml:space="preserve">https://vk.com/mrlsan</t>
  </si>
  <si>
    <t xml:space="preserve">maria.lisina2017@yandex.ru</t>
  </si>
  <si>
    <t xml:space="preserve">Сим</t>
  </si>
  <si>
    <t xml:space="preserve">alina.sim.2004@gmail.com</t>
  </si>
  <si>
    <t xml:space="preserve">Ладынская</t>
  </si>
  <si>
    <t xml:space="preserve">Дарья</t>
  </si>
  <si>
    <t xml:space="preserve">БОУ г. Омска "СОШ 36"</t>
  </si>
  <si>
    <t xml:space="preserve">https://vk.com/dashs2016</t>
  </si>
  <si>
    <t xml:space="preserve">dasha.ladynskaya@mail.ru</t>
  </si>
  <si>
    <t xml:space="preserve">Смирнов</t>
  </si>
  <si>
    <t xml:space="preserve">vk.com/id383760243</t>
  </si>
  <si>
    <t xml:space="preserve">smirnov2571@gmail.com</t>
  </si>
  <si>
    <t xml:space="preserve">Клюева</t>
  </si>
  <si>
    <t xml:space="preserve">https://vk.com/id248147614</t>
  </si>
  <si>
    <t xml:space="preserve">polina190204@list.ru</t>
  </si>
  <si>
    <t xml:space="preserve">Мукушева </t>
  </si>
  <si>
    <t xml:space="preserve">Рамина</t>
  </si>
  <si>
    <t xml:space="preserve">Гимназия 146</t>
  </si>
  <si>
    <t xml:space="preserve">Смогу посещать занятия во второй половине дня</t>
  </si>
  <si>
    <t xml:space="preserve">vk.com/ramina_mm</t>
  </si>
  <si>
    <t xml:space="preserve">raminamukusheva13@gmail.com</t>
  </si>
  <si>
    <t xml:space="preserve">Мукушева</t>
  </si>
  <si>
    <t xml:space="preserve">Лекант</t>
  </si>
  <si>
    <t xml:space="preserve">https://vk.com/id526408411</t>
  </si>
  <si>
    <t xml:space="preserve">klekant@mail.ru</t>
  </si>
  <si>
    <t xml:space="preserve">Ибатуллина</t>
  </si>
  <si>
    <t xml:space="preserve">Амалия</t>
  </si>
  <si>
    <t xml:space="preserve">https://vk.com/id262530619</t>
  </si>
  <si>
    <t xml:space="preserve">ibatullin77@yandex.ru</t>
  </si>
  <si>
    <t xml:space="preserve">Логистика акции по раздельному сбору отходов</t>
  </si>
  <si>
    <t xml:space="preserve">Николаев </t>
  </si>
  <si>
    <t xml:space="preserve">Сергей </t>
  </si>
  <si>
    <t xml:space="preserve">Я могу быть только во второй половине учебного дня </t>
  </si>
  <si>
    <t xml:space="preserve">https://vk.com/nikola_serj</t>
  </si>
  <si>
    <t xml:space="preserve">nikolayev-serezha00@mail.ru</t>
  </si>
  <si>
    <t xml:space="preserve">Панева</t>
  </si>
  <si>
    <t xml:space="preserve">Иляна </t>
  </si>
  <si>
    <t xml:space="preserve">Лицей 149 </t>
  </si>
  <si>
    <t xml:space="preserve">vk.com/id227178442</t>
  </si>
  <si>
    <t xml:space="preserve">panevailyana@mail.ru</t>
  </si>
  <si>
    <t xml:space="preserve">Фазуллина</t>
  </si>
  <si>
    <t xml:space="preserve">https://vk.com/y.kolyvanova1990</t>
  </si>
  <si>
    <t xml:space="preserve">svetafazullina@mail.ru</t>
  </si>
  <si>
    <t xml:space="preserve">Жигулина</t>
  </si>
  <si>
    <t xml:space="preserve">Виктория</t>
  </si>
  <si>
    <t xml:space="preserve">https://vk.com/shanny_angel</t>
  </si>
  <si>
    <t xml:space="preserve">zhigulina.vika@bk.ru</t>
  </si>
  <si>
    <t xml:space="preserve">Божко</t>
  </si>
  <si>
    <t xml:space="preserve">Роман</t>
  </si>
  <si>
    <t xml:space="preserve">zannet5.03@mail.ru</t>
  </si>
  <si>
    <t xml:space="preserve">Тимомеев</t>
  </si>
  <si>
    <t xml:space="preserve">Рустам</t>
  </si>
  <si>
    <t xml:space="preserve">https://m.vk.com/refresher1</t>
  </si>
  <si>
    <t xml:space="preserve">rustim1112@gmail.com</t>
  </si>
  <si>
    <t xml:space="preserve">Жилин</t>
  </si>
  <si>
    <t xml:space="preserve">vk.com/misha_zhilin2003</t>
  </si>
  <si>
    <t xml:space="preserve">misha230503@mail.ru</t>
  </si>
  <si>
    <t xml:space="preserve">Булучевская</t>
  </si>
  <si>
    <t xml:space="preserve">Нина</t>
  </si>
  <si>
    <t xml:space="preserve">vk.com/sad_nina</t>
  </si>
  <si>
    <t xml:space="preserve">ninkabulochka@gmail.com</t>
  </si>
  <si>
    <t xml:space="preserve">Краева</t>
  </si>
  <si>
    <t xml:space="preserve">Люблю кактусики и слушать интересные лекции</t>
  </si>
  <si>
    <t xml:space="preserve">vk.com/ny1privet2elon3musk</t>
  </si>
  <si>
    <t xml:space="preserve">kraeva_elena@list.ru</t>
  </si>
  <si>
    <t xml:space="preserve">Евстратенко</t>
  </si>
  <si>
    <t xml:space="preserve">vk.com/katerrrrrina</t>
  </si>
  <si>
    <t xml:space="preserve">kevstratenko@mail.ru</t>
  </si>
  <si>
    <t xml:space="preserve">Стативка</t>
  </si>
  <si>
    <t xml:space="preserve">Максим</t>
  </si>
  <si>
    <t xml:space="preserve">https://vk.com/id418977018</t>
  </si>
  <si>
    <t xml:space="preserve">maksrulit55@gmail.com</t>
  </si>
  <si>
    <t xml:space="preserve">Рейсер</t>
  </si>
  <si>
    <t xml:space="preserve">https://vk.com/id341427594</t>
  </si>
  <si>
    <t xml:space="preserve">bobrovskaya008@yandex.ru</t>
  </si>
  <si>
    <t xml:space="preserve">Денисова</t>
  </si>
  <si>
    <t xml:space="preserve">Маргарита</t>
  </si>
  <si>
    <t xml:space="preserve">https://vk.com/id285364433</t>
  </si>
  <si>
    <t xml:space="preserve">denisova.margarita@inbox.ru</t>
  </si>
  <si>
    <t xml:space="preserve">Мокиенко </t>
  </si>
  <si>
    <t xml:space="preserve">БОУОО"МОЦРО№117"</t>
  </si>
  <si>
    <t xml:space="preserve">https://vk.com/id436516056</t>
  </si>
  <si>
    <t xml:space="preserve">ksmokienko03@gmail.com</t>
  </si>
  <si>
    <t xml:space="preserve">Васильев</t>
  </si>
  <si>
    <t xml:space="preserve">https://vk.com/baldezzhhhhh</t>
  </si>
  <si>
    <t xml:space="preserve">danillboss05@mail.ru</t>
  </si>
  <si>
    <t xml:space="preserve">Волченко</t>
  </si>
  <si>
    <t xml:space="preserve">Вадим</t>
  </si>
  <si>
    <t xml:space="preserve">https://m.vk.com/volchara49</t>
  </si>
  <si>
    <t xml:space="preserve">volchenko.vadem49@gmail.com</t>
  </si>
  <si>
    <t xml:space="preserve">Денисова </t>
  </si>
  <si>
    <t xml:space="preserve">vk.com/id285364433</t>
  </si>
  <si>
    <t xml:space="preserve">Лещенко</t>
  </si>
  <si>
    <t xml:space="preserve">glpav@mail.ru</t>
  </si>
  <si>
    <t xml:space="preserve">Осипова</t>
  </si>
  <si>
    <t xml:space="preserve">Валентина</t>
  </si>
  <si>
    <t xml:space="preserve">https://vk.com/id281800589</t>
  </si>
  <si>
    <t xml:space="preserve">osipova_valy@mail.ru</t>
  </si>
  <si>
    <t xml:space="preserve">Vk.com/ramina_mm</t>
  </si>
  <si>
    <t xml:space="preserve">Дмитриенко</t>
  </si>
  <si>
    <t xml:space="preserve">https://vk.com/alexandrinioo</t>
  </si>
  <si>
    <t xml:space="preserve">das200261@gmail.com</t>
  </si>
  <si>
    <t xml:space="preserve">Галыба</t>
  </si>
  <si>
    <t xml:space="preserve">Леонид</t>
  </si>
  <si>
    <t xml:space="preserve">vk.com/id175231174</t>
  </si>
  <si>
    <t xml:space="preserve">leonid.galyba@mail.com</t>
  </si>
  <si>
    <t xml:space="preserve">Савиных</t>
  </si>
  <si>
    <t xml:space="preserve">Кристина</t>
  </si>
  <si>
    <t xml:space="preserve">https://vk.com/id252385302</t>
  </si>
  <si>
    <t xml:space="preserve">cuteunicorn2412@gmail.com</t>
  </si>
  <si>
    <t xml:space="preserve">СОШ N 7</t>
  </si>
  <si>
    <t xml:space="preserve">Семенов</t>
  </si>
  <si>
    <t xml:space="preserve">Егор</t>
  </si>
  <si>
    <t xml:space="preserve">МОЦРО №117 </t>
  </si>
  <si>
    <t xml:space="preserve">https://vk.com/id190943067</t>
  </si>
  <si>
    <t xml:space="preserve">egorishere@icloud.com</t>
  </si>
  <si>
    <t xml:space="preserve">Мороз</t>
  </si>
  <si>
    <t xml:space="preserve">Семён</t>
  </si>
  <si>
    <t xml:space="preserve">https://vk.com/id284438427</t>
  </si>
  <si>
    <t xml:space="preserve">semenische@yandex.ru</t>
  </si>
  <si>
    <t xml:space="preserve">Лощинин</t>
  </si>
  <si>
    <t xml:space="preserve">Олег</t>
  </si>
  <si>
    <t xml:space="preserve">vk.com/puteshestvennik2004</t>
  </si>
  <si>
    <t xml:space="preserve">loschinin_oleg@mail.ru</t>
  </si>
  <si>
    <t xml:space="preserve">Винтер</t>
  </si>
  <si>
    <t xml:space="preserve">Кирилл</t>
  </si>
  <si>
    <t xml:space="preserve">vk.com/unrealpochvoved</t>
  </si>
  <si>
    <t xml:space="preserve">viktordozdevoj@gmail.com</t>
  </si>
  <si>
    <t xml:space="preserve">Климова </t>
  </si>
  <si>
    <t xml:space="preserve">БОУ ОО „МОЦРО №117”</t>
  </si>
  <si>
    <t xml:space="preserve">https://vk.com/klimova_ann</t>
  </si>
  <si>
    <t xml:space="preserve">anna13082004OMSK@mail.ru</t>
  </si>
  <si>
    <t xml:space="preserve">Жунусов</t>
  </si>
  <si>
    <t xml:space="preserve">Евгений</t>
  </si>
  <si>
    <t xml:space="preserve">https://vk.com/id299162973</t>
  </si>
  <si>
    <t xml:space="preserve">ezzh77@mail.ru</t>
  </si>
  <si>
    <t xml:space="preserve">Перевальская</t>
  </si>
  <si>
    <t xml:space="preserve">Алена</t>
  </si>
  <si>
    <t xml:space="preserve">Моцро #117</t>
  </si>
  <si>
    <t xml:space="preserve">https://vk.com/id258574005</t>
  </si>
  <si>
    <t xml:space="preserve">a.perevalskaya@gmail.com</t>
  </si>
  <si>
    <t xml:space="preserve">Степанов</t>
  </si>
  <si>
    <t xml:space="preserve">С начала и до конца.</t>
  </si>
  <si>
    <t xml:space="preserve">https://vk.com/id141442481</t>
  </si>
  <si>
    <t xml:space="preserve">vadim-9999@mail.ru</t>
  </si>
  <si>
    <t xml:space="preserve">Протченко</t>
  </si>
  <si>
    <t xml:space="preserve">БОУ ОО "МОЦРО №17"</t>
  </si>
  <si>
    <t xml:space="preserve">Привет :) Я просто хотела предупредить, что немножко изменяю ответ, который присылала ранее (четвёртый курс хочу поменять)</t>
  </si>
  <si>
    <t xml:space="preserve">Подворная</t>
  </si>
  <si>
    <t xml:space="preserve">https://vk.com/id324261632</t>
  </si>
  <si>
    <t xml:space="preserve">vladimirovna7799@list.ru</t>
  </si>
  <si>
    <t xml:space="preserve">Леонов</t>
  </si>
  <si>
    <t xml:space="preserve">Лицей №74</t>
  </si>
  <si>
    <t xml:space="preserve">Vk.com/id463866987</t>
  </si>
  <si>
    <t xml:space="preserve">leonivan3002@gmail.com</t>
  </si>
  <si>
    <t xml:space="preserve">Мобильный геймдев (вторая часть)</t>
  </si>
  <si>
    <t xml:space="preserve">Гричкоедовой</t>
  </si>
  <si>
    <t xml:space="preserve">vk.com/grichkoedova</t>
  </si>
  <si>
    <t xml:space="preserve">grichkoedova@mail.ru</t>
  </si>
  <si>
    <t xml:space="preserve">Семёнова</t>
  </si>
  <si>
    <t xml:space="preserve">https://vk.com/id542091942</t>
  </si>
  <si>
    <t xml:space="preserve">sneesas@gmail.com</t>
  </si>
  <si>
    <t xml:space="preserve">Щипачёв</t>
  </si>
  <si>
    <t xml:space="preserve">БОУ ОО "МОЦРО N117"</t>
  </si>
  <si>
    <t xml:space="preserve">https://vk.com/guselki_yurovchati</t>
  </si>
  <si>
    <t xml:space="preserve">a.shepoch@mail.ru</t>
  </si>
  <si>
    <t xml:space="preserve">https://vk.com/denis007crack</t>
  </si>
  <si>
    <t xml:space="preserve">ddemon2002@mail.ru</t>
  </si>
  <si>
    <t xml:space="preserve">Белозеров</t>
  </si>
  <si>
    <t xml:space="preserve">Алексей</t>
  </si>
  <si>
    <t xml:space="preserve">Школа №56</t>
  </si>
  <si>
    <t xml:space="preserve">vk.com/id494493499</t>
  </si>
  <si>
    <t xml:space="preserve">tatyana.bakeeva@mail.ru</t>
  </si>
  <si>
    <t xml:space="preserve">немного комбинаторики и теория вероятности</t>
  </si>
  <si>
    <t xml:space="preserve">Шереш</t>
  </si>
  <si>
    <t xml:space="preserve">sheresh.eg@yandex.ru</t>
  </si>
  <si>
    <t xml:space="preserve">Лисовский</t>
  </si>
  <si>
    <t xml:space="preserve">vk.com/id496766710</t>
  </si>
  <si>
    <t xml:space="preserve">lisovskiy2003@mail.ru</t>
  </si>
  <si>
    <t xml:space="preserve">Шипилова</t>
  </si>
  <si>
    <t xml:space="preserve">ship.02@mail.ru</t>
  </si>
  <si>
    <t xml:space="preserve">Кожевников </t>
  </si>
  <si>
    <t xml:space="preserve">Лицей 66</t>
  </si>
  <si>
    <t xml:space="preserve">https://vk.com/id319452249</t>
  </si>
  <si>
    <t xml:space="preserve">sibomsk25@mail.ru</t>
  </si>
  <si>
    <t xml:space="preserve">Георгий</t>
  </si>
  <si>
    <t xml:space="preserve">vk.com/id330253179</t>
  </si>
  <si>
    <t xml:space="preserve">moroz-jonny05@mail.ru</t>
  </si>
  <si>
    <t xml:space="preserve">Сычов</t>
  </si>
  <si>
    <t xml:space="preserve">https://vk.com/semyonsychov</t>
  </si>
  <si>
    <t xml:space="preserve">net@net.com</t>
  </si>
  <si>
    <t xml:space="preserve">Артамонов</t>
  </si>
  <si>
    <t xml:space="preserve">Виктор</t>
  </si>
  <si>
    <t xml:space="preserve">Умеренные политические взгляды</t>
  </si>
  <si>
    <t xml:space="preserve">https://vk.com/svandrith</t>
  </si>
  <si>
    <t xml:space="preserve">mr.viktorasov@mail.ru</t>
  </si>
  <si>
    <t xml:space="preserve">Михель</t>
  </si>
  <si>
    <t xml:space="preserve">хз</t>
  </si>
  <si>
    <t xml:space="preserve">net@net.net</t>
  </si>
  <si>
    <t xml:space="preserve">Путинцев</t>
  </si>
  <si>
    <t xml:space="preserve">https://vk.com/id335232813</t>
  </si>
  <si>
    <t xml:space="preserve">Филиппенко</t>
  </si>
  <si>
    <t xml:space="preserve">Лев</t>
  </si>
  <si>
    <t xml:space="preserve">https://vk.com/lovememes3</t>
  </si>
  <si>
    <t xml:space="preserve">Выберите курс</t>
  </si>
  <si>
    <t xml:space="preserve">Ваша страница в ВК</t>
  </si>
  <si>
    <t xml:space="preserve">Старичок</t>
  </si>
  <si>
    <t xml:space="preserve">Точность бытия</t>
  </si>
  <si>
    <t xml:space="preserve">Номер ряда в исходной таблице</t>
  </si>
  <si>
    <t xml:space="preserve">Комментарий</t>
  </si>
  <si>
    <t xml:space="preserve">Золотые пидоры</t>
  </si>
  <si>
    <t xml:space="preserve">только вторая половина</t>
  </si>
  <si>
    <t xml:space="preserve">пока хз</t>
  </si>
  <si>
    <t xml:space="preserve">мб нет</t>
  </si>
  <si>
    <t xml:space="preserve">не будет в первую половину</t>
  </si>
  <si>
    <t xml:space="preserve">Только вторая половина</t>
  </si>
  <si>
    <t xml:space="preserve">почта не работает</t>
  </si>
  <si>
    <t xml:space="preserve">Не знаешь - не трогай)</t>
  </si>
  <si>
    <t xml:space="preserve">Хочется нажать, но не стоит)</t>
  </si>
  <si>
    <t xml:space="preserve">число пришедших</t>
  </si>
  <si>
    <t xml:space="preserve">число непришедших</t>
  </si>
  <si>
    <t xml:space="preserve">число пришедших из 117</t>
  </si>
  <si>
    <t xml:space="preserve">число непришедших из 117</t>
  </si>
  <si>
    <t xml:space="preserve">Первая половина, первая пара</t>
  </si>
  <si>
    <t xml:space="preserve">Текущее кол-во</t>
  </si>
  <si>
    <t xml:space="preserve">Максимум</t>
  </si>
  <si>
    <t xml:space="preserve">В рамках (пределы увеличены на 30%)</t>
  </si>
  <si>
    <t xml:space="preserve">Общее число регистраций:</t>
  </si>
  <si>
    <t xml:space="preserve">Первая половина, вторая пара</t>
  </si>
  <si>
    <t xml:space="preserve">Свежесть статискики:</t>
  </si>
  <si>
    <t xml:space="preserve">Двойные регистрации:</t>
  </si>
  <si>
    <t xml:space="preserve">Вторая половина, первая пара</t>
  </si>
  <si>
    <t xml:space="preserve">Вторая половина, вторая пара</t>
  </si>
  <si>
    <t xml:space="preserve">Дата</t>
  </si>
  <si>
    <t xml:space="preserve">В день</t>
  </si>
  <si>
    <t xml:space="preserve">Кумулятивно</t>
  </si>
  <si>
    <t xml:space="preserve">остальные</t>
  </si>
  <si>
    <t xml:space="preserve">Старички</t>
  </si>
  <si>
    <t xml:space="preserve">Новички</t>
  </si>
  <si>
    <t xml:space="preserve">не будет</t>
  </si>
  <si>
    <t xml:space="preserve">не спрашивали</t>
  </si>
  <si>
    <t xml:space="preserve">спросили</t>
  </si>
  <si>
    <t xml:space="preserve">будет</t>
  </si>
  <si>
    <t xml:space="preserve">Кумулятивное число регистраций, подчиняющееся определённым условиям:</t>
  </si>
  <si>
    <t xml:space="preserve">класс</t>
  </si>
  <si>
    <t xml:space="preserve">школа</t>
  </si>
  <si>
    <t xml:space="preserve">курс</t>
  </si>
  <si>
    <t xml:space="preserve">Выберите курс первой половины (5-11 июля)</t>
  </si>
  <si>
    <t xml:space="preserve">Выберите курс второй половины (12-18 июля)</t>
  </si>
  <si>
    <t xml:space="preserve">Реальный курс первой половины</t>
  </si>
  <si>
    <t xml:space="preserve">Реальный курс второй половниы</t>
  </si>
  <si>
    <t xml:space="preserve">Гарбуз </t>
  </si>
  <si>
    <t xml:space="preserve">Арина </t>
  </si>
  <si>
    <t xml:space="preserve">vk.com/agarbus2003</t>
  </si>
  <si>
    <t xml:space="preserve">gaa7086@gmail.com</t>
  </si>
  <si>
    <t xml:space="preserve">Социология</t>
  </si>
  <si>
    <t xml:space="preserve">Биология</t>
  </si>
  <si>
    <t xml:space="preserve">Да</t>
  </si>
  <si>
    <t xml:space="preserve">Терещенко </t>
  </si>
  <si>
    <t xml:space="preserve">Алексей </t>
  </si>
  <si>
    <t xml:space="preserve">Обожаю впс</t>
  </si>
  <si>
    <t xml:space="preserve">vk.com/id243002488</t>
  </si>
  <si>
    <t xml:space="preserve">leha.tarin@mail.ru</t>
  </si>
  <si>
    <t xml:space="preserve">Олимпиадная химия</t>
  </si>
  <si>
    <t xml:space="preserve">Теория вероятностей</t>
  </si>
  <si>
    <t xml:space="preserve">Власов</t>
  </si>
  <si>
    <t xml:space="preserve">vk.com/kotyangensss</t>
  </si>
  <si>
    <t xml:space="preserve">optimys.prajm@mail.ru</t>
  </si>
  <si>
    <t xml:space="preserve">Введение в анализ данных</t>
  </si>
  <si>
    <t xml:space="preserve">Богданова</t>
  </si>
  <si>
    <t xml:space="preserve">vk.com/id206813526</t>
  </si>
  <si>
    <t xml:space="preserve">bogdanovaasya_2907@mail.ru</t>
  </si>
  <si>
    <t xml:space="preserve">Догадин</t>
  </si>
  <si>
    <t xml:space="preserve">Антон</t>
  </si>
  <si>
    <t xml:space="preserve">vk.com/djabella</t>
  </si>
  <si>
    <t xml:space="preserve">dogadina67@mail.ru</t>
  </si>
  <si>
    <t xml:space="preserve">Олимпиадная математика</t>
  </si>
  <si>
    <t xml:space="preserve">Калиниченко</t>
  </si>
  <si>
    <t xml:space="preserve">Границы применимости физических моделей</t>
  </si>
  <si>
    <t xml:space="preserve">vk.com/id262530619</t>
  </si>
  <si>
    <t xml:space="preserve">Введение в роль элитных противостояний в истории</t>
  </si>
  <si>
    <t xml:space="preserve">Меня не будет в эту половину</t>
  </si>
  <si>
    <t xml:space="preserve">Лазарев</t>
  </si>
  <si>
    <t xml:space="preserve">Анатолий</t>
  </si>
  <si>
    <t xml:space="preserve">Vk.com/lazarevtolyan</t>
  </si>
  <si>
    <t xml:space="preserve">lazarevl2001@gmail.com</t>
  </si>
  <si>
    <t xml:space="preserve">Александрова</t>
  </si>
  <si>
    <t xml:space="preserve">vk.com/licharovski </t>
  </si>
  <si>
    <t xml:space="preserve">licharovski@mail.ru</t>
  </si>
  <si>
    <t xml:space="preserve">не могу присутствовать 16,17 и 18 июля</t>
  </si>
  <si>
    <t xml:space="preserve">Введение в российское право</t>
  </si>
  <si>
    <t xml:space="preserve">Черкасов</t>
  </si>
  <si>
    <t xml:space="preserve">Глеб</t>
  </si>
  <si>
    <t xml:space="preserve">vk.com/maninthebluebox</t>
  </si>
  <si>
    <t xml:space="preserve">glebotron@gmail.com</t>
  </si>
  <si>
    <t xml:space="preserve">Матричная оптика</t>
  </si>
  <si>
    <t xml:space="preserve">Гнедина</t>
  </si>
  <si>
    <t xml:space="preserve">Я смогу ходить в Сигму только до 15 июля. Дальше я уезжаб</t>
  </si>
  <si>
    <t xml:space="preserve">gnedina_03@mail.ru</t>
  </si>
  <si>
    <t xml:space="preserve">vk.com/sadmaris</t>
  </si>
  <si>
    <t xml:space="preserve">Экономическое мышление и никакой математики!</t>
  </si>
  <si>
    <t xml:space="preserve">Капллани</t>
  </si>
  <si>
    <t xml:space="preserve">Смогу посещать с 6 июля</t>
  </si>
  <si>
    <t xml:space="preserve">vk.com/mara.rina</t>
  </si>
  <si>
    <t xml:space="preserve">mkapllani3002@gmail.com</t>
  </si>
  <si>
    <t xml:space="preserve">Задворнов</t>
  </si>
  <si>
    <t xml:space="preserve">Вячеслав</t>
  </si>
  <si>
    <t xml:space="preserve">slzod@mail.ru</t>
  </si>
  <si>
    <t xml:space="preserve">Темерева</t>
  </si>
  <si>
    <t xml:space="preserve">Алиса</t>
  </si>
  <si>
    <t xml:space="preserve">vk.com/teemereva</t>
  </si>
  <si>
    <t xml:space="preserve">temerjevaalisa17@gmail.com</t>
  </si>
  <si>
    <t xml:space="preserve">lula@mail.ru</t>
  </si>
  <si>
    <t xml:space="preserve">до 15 июля</t>
  </si>
  <si>
    <t xml:space="preserve">Выдрин</t>
  </si>
  <si>
    <t xml:space="preserve">vk.com/leepsi</t>
  </si>
  <si>
    <t xml:space="preserve">anton8311@mail.ru</t>
  </si>
  <si>
    <t xml:space="preserve">Олимпиадное программирование</t>
  </si>
  <si>
    <t xml:space="preserve">Уманский</t>
  </si>
  <si>
    <t xml:space="preserve">vk.com/umnayshe4ka</t>
  </si>
  <si>
    <t xml:space="preserve">superpo4ta.rom@gmail.com</t>
  </si>
  <si>
    <t xml:space="preserve">Воробей</t>
  </si>
  <si>
    <t xml:space="preserve">Дмитрий</t>
  </si>
  <si>
    <t xml:space="preserve">vk.com/id183865528</t>
  </si>
  <si>
    <t xml:space="preserve">mega.oioi@mail.ru</t>
  </si>
  <si>
    <t xml:space="preserve">Желдак</t>
  </si>
  <si>
    <t xml:space="preserve">vk.com/lzheldak</t>
  </si>
  <si>
    <t xml:space="preserve">leonid.zheldak@yandex.ru</t>
  </si>
  <si>
    <t xml:space="preserve">Мобильный геймдев</t>
  </si>
  <si>
    <t xml:space="preserve">Левченко</t>
  </si>
  <si>
    <t xml:space="preserve">Владислав </t>
  </si>
  <si>
    <t xml:space="preserve">vk.com/zyymeboy</t>
  </si>
  <si>
    <t xml:space="preserve">levchenkoo.vladislav@gmail.com</t>
  </si>
  <si>
    <t xml:space="preserve">vk.com/timfencing</t>
  </si>
  <si>
    <t xml:space="preserve">vk.com/sermon.kokosov</t>
  </si>
  <si>
    <t xml:space="preserve">sermonkokoso@yandex.ru</t>
  </si>
  <si>
    <t xml:space="preserve">vk.com/id270970940</t>
  </si>
  <si>
    <t xml:space="preserve">Тулинская</t>
  </si>
  <si>
    <t xml:space="preserve">Джессика</t>
  </si>
  <si>
    <t xml:space="preserve">vk.com/jess41359473</t>
  </si>
  <si>
    <t xml:space="preserve">aprelka_25@mail.ru</t>
  </si>
  <si>
    <t xml:space="preserve">vk.com/mihagg1</t>
  </si>
  <si>
    <t xml:space="preserve">Аверьянов</t>
  </si>
  <si>
    <t xml:space="preserve">vk.com/siemens1337</t>
  </si>
  <si>
    <t xml:space="preserve">bozdyzbro@gmail.com</t>
  </si>
  <si>
    <t xml:space="preserve">Киямова</t>
  </si>
  <si>
    <t xml:space="preserve">Наиля</t>
  </si>
  <si>
    <t xml:space="preserve">vk.com/loiwwer</t>
  </si>
  <si>
    <t xml:space="preserve">nkom5507@gmail.com</t>
  </si>
  <si>
    <t xml:space="preserve">Программирование на arduino</t>
  </si>
  <si>
    <t xml:space="preserve">Драницын</t>
  </si>
  <si>
    <t xml:space="preserve">vk.com/shapebringer</t>
  </si>
  <si>
    <t xml:space="preserve">viktordranicyn@list.ru</t>
  </si>
  <si>
    <t xml:space="preserve">Академический лицей при ОмГПУ</t>
  </si>
  <si>
    <t xml:space="preserve">vk.com/malenkaia_esho</t>
  </si>
  <si>
    <t xml:space="preserve">aliska_shmidt@list.ru</t>
  </si>
  <si>
    <t xml:space="preserve">написал второй раз</t>
  </si>
  <si>
    <t xml:space="preserve">vk.com/egorkaegorih</t>
  </si>
  <si>
    <t xml:space="preserve">egorkaegorih@gmail.com</t>
  </si>
  <si>
    <t xml:space="preserve">Рыбалко </t>
  </si>
  <si>
    <t xml:space="preserve">vk.com/lexxandria</t>
  </si>
  <si>
    <t xml:space="preserve">blue0alexandra0sky@gmail.com</t>
  </si>
  <si>
    <t xml:space="preserve">vk.com/1rustim1</t>
  </si>
  <si>
    <t xml:space="preserve">vk.com/liub04ka</t>
  </si>
  <si>
    <t xml:space="preserve">Давыдова </t>
  </si>
  <si>
    <t xml:space="preserve">Лапшин</t>
  </si>
  <si>
    <t xml:space="preserve">gerlaps@gmail.com</t>
  </si>
  <si>
    <t xml:space="preserve">Голицына</t>
  </si>
  <si>
    <t xml:space="preserve">vk.com/id445282722</t>
  </si>
  <si>
    <t xml:space="preserve">katy198155@yandex.ru</t>
  </si>
  <si>
    <t xml:space="preserve">Шпакова</t>
  </si>
  <si>
    <t xml:space="preserve">Лицей НИУ ВШЭ</t>
  </si>
  <si>
    <t xml:space="preserve">vk.com/evlgenius</t>
  </si>
  <si>
    <t xml:space="preserve">shpakova1201@mail.ru</t>
  </si>
  <si>
    <t xml:space="preserve">Сидоров </t>
  </si>
  <si>
    <t xml:space="preserve">vk.com/nsidorov2001</t>
  </si>
  <si>
    <t xml:space="preserve">Зольников</t>
  </si>
  <si>
    <t xml:space="preserve">vk.com/andrezolnikov</t>
  </si>
  <si>
    <t xml:space="preserve">zolnikov00@ya.ru</t>
  </si>
  <si>
    <t xml:space="preserve">Лян</t>
  </si>
  <si>
    <t xml:space="preserve">vk.com/id225935599</t>
  </si>
  <si>
    <t xml:space="preserve">slava_lan@mail.ru</t>
  </si>
  <si>
    <t xml:space="preserve">Черных</t>
  </si>
  <si>
    <t xml:space="preserve">vk.com/id226113989</t>
  </si>
  <si>
    <t xml:space="preserve">sofya.chernyx@inbox.ru</t>
  </si>
  <si>
    <t xml:space="preserve">Панов</t>
  </si>
  <si>
    <t xml:space="preserve">Севастьян</t>
  </si>
  <si>
    <t xml:space="preserve">sevapanov@andex.ru</t>
  </si>
  <si>
    <t xml:space="preserve">Юдин</t>
  </si>
  <si>
    <t xml:space="preserve">Степан </t>
  </si>
  <si>
    <t xml:space="preserve">vk.com/mrmeller12</t>
  </si>
  <si>
    <t xml:space="preserve">yvvy1997@mail.ru</t>
  </si>
  <si>
    <t xml:space="preserve">Зернюк </t>
  </si>
  <si>
    <t xml:space="preserve">vk.com/id230203504</t>
  </si>
  <si>
    <t xml:space="preserve">vk.com/renata_eva </t>
  </si>
  <si>
    <t xml:space="preserve">Кацуба </t>
  </si>
  <si>
    <t xml:space="preserve">vk.com/id269671662</t>
  </si>
  <si>
    <t xml:space="preserve">kacuba1981kk@mail.ru</t>
  </si>
  <si>
    <t xml:space="preserve">Христолюбов</t>
  </si>
  <si>
    <t xml:space="preserve">vk.com/id382406601</t>
  </si>
  <si>
    <t xml:space="preserve">b140103@list.ru</t>
  </si>
  <si>
    <t xml:space="preserve">Суднев</t>
  </si>
  <si>
    <t xml:space="preserve">БПОУ «Омавиат»</t>
  </si>
  <si>
    <t xml:space="preserve">vk.com/dref55</t>
  </si>
  <si>
    <t xml:space="preserve">drefteam@gmail.com</t>
  </si>
  <si>
    <t xml:space="preserve">Свиридова </t>
  </si>
  <si>
    <t xml:space="preserve">sviridova76@gmail.com</t>
  </si>
  <si>
    <t xml:space="preserve">Кравец </t>
  </si>
  <si>
    <t xml:space="preserve">Анна </t>
  </si>
  <si>
    <t xml:space="preserve">Академический лицей при ОМГпУ </t>
  </si>
  <si>
    <t xml:space="preserve">Могу быть весь учебный день в школе </t>
  </si>
  <si>
    <t xml:space="preserve">vk.com/id194845468</t>
  </si>
  <si>
    <t xml:space="preserve">kravec_anna@list.ru</t>
  </si>
  <si>
    <t xml:space="preserve">Ефимкина </t>
  </si>
  <si>
    <t xml:space="preserve">Академический лицей при ОМГПУ </t>
  </si>
  <si>
    <t xml:space="preserve">Могу весь учебный день</t>
  </si>
  <si>
    <t xml:space="preserve">vk.com/missis.nasta20</t>
  </si>
  <si>
    <t xml:space="preserve">missis.nasta20@yandex.ru</t>
  </si>
  <si>
    <t xml:space="preserve">Иова</t>
  </si>
  <si>
    <t xml:space="preserve">Илона</t>
  </si>
  <si>
    <t xml:space="preserve">olga.iova@mail.ru</t>
  </si>
  <si>
    <t xml:space="preserve">vk.com/sergey.prokhorov2000</t>
  </si>
  <si>
    <t xml:space="preserve">sergeypro@inbox.ru</t>
  </si>
  <si>
    <t xml:space="preserve">Франк</t>
  </si>
  <si>
    <t xml:space="preserve">vk.com/yanafrank</t>
  </si>
  <si>
    <t xml:space="preserve">yana.f.2000@mail.ru</t>
  </si>
  <si>
    <t xml:space="preserve">Синельникова</t>
  </si>
  <si>
    <t xml:space="preserve">Мальцев</t>
  </si>
  <si>
    <t xml:space="preserve">vk.com/id210046407</t>
  </si>
  <si>
    <t xml:space="preserve">ilyafish85@mail.ru</t>
  </si>
  <si>
    <t xml:space="preserve">Кузьмин</t>
  </si>
  <si>
    <t xml:space="preserve">Василий</t>
  </si>
  <si>
    <t xml:space="preserve">vk.com/username1908</t>
  </si>
  <si>
    <t xml:space="preserve">re_1919@mail.ru</t>
  </si>
  <si>
    <t xml:space="preserve">Задорожная</t>
  </si>
  <si>
    <t xml:space="preserve">Виолетта</t>
  </si>
  <si>
    <t xml:space="preserve">vk.com/id198934365</t>
  </si>
  <si>
    <t xml:space="preserve">vitulya.zadorozhnaya@mail.ru</t>
  </si>
  <si>
    <t xml:space="preserve">Анохина</t>
  </si>
  <si>
    <t xml:space="preserve">vk.com/polinko_malinko</t>
  </si>
  <si>
    <t xml:space="preserve">Anokhinaa04@mail.ru</t>
  </si>
  <si>
    <t xml:space="preserve">Руль </t>
  </si>
  <si>
    <t xml:space="preserve">Виктория </t>
  </si>
  <si>
    <t xml:space="preserve">vk.com/id183604164</t>
  </si>
  <si>
    <t xml:space="preserve">victoriya.1802@gmail.com</t>
  </si>
  <si>
    <t xml:space="preserve">Назаров</t>
  </si>
  <si>
    <t xml:space="preserve">Нариман</t>
  </si>
  <si>
    <t xml:space="preserve">vk.com/id183448945</t>
  </si>
  <si>
    <t xml:space="preserve">nariman_nazarov@mail.ru</t>
  </si>
  <si>
    <t xml:space="preserve">Артамонова</t>
  </si>
  <si>
    <t xml:space="preserve">vk.com/id157850061</t>
  </si>
  <si>
    <t xml:space="preserve">anna.artamonova57@gmail.com</t>
  </si>
  <si>
    <t xml:space="preserve">vk.com/id183491405</t>
  </si>
  <si>
    <t xml:space="preserve">daniellasky@gmail.com</t>
  </si>
  <si>
    <t xml:space="preserve">Шишова</t>
  </si>
  <si>
    <t xml:space="preserve">София </t>
  </si>
  <si>
    <t xml:space="preserve">vk.com/sshishova2000</t>
  </si>
  <si>
    <t xml:space="preserve">Fro-31@mail.ru</t>
  </si>
  <si>
    <t xml:space="preserve">Широкова</t>
  </si>
  <si>
    <t xml:space="preserve">скорее всего не смогу ходить до самого конца смены</t>
  </si>
  <si>
    <t xml:space="preserve">vk.com/id189704537</t>
  </si>
  <si>
    <t xml:space="preserve">ira.shirokova.01@bk.ru</t>
  </si>
  <si>
    <t xml:space="preserve">до 12 июля</t>
  </si>
  <si>
    <t xml:space="preserve">Голозов</t>
  </si>
  <si>
    <t xml:space="preserve">vk.com/dimagolozov</t>
  </si>
  <si>
    <t xml:space="preserve">dima.golozov@gmai.com</t>
  </si>
  <si>
    <t xml:space="preserve">скорее всего</t>
  </si>
  <si>
    <t xml:space="preserve">Мухомедишин</t>
  </si>
  <si>
    <t xml:space="preserve">vk.com/rustam_in</t>
  </si>
  <si>
    <t xml:space="preserve">rustamomsk57@mail.ru</t>
  </si>
  <si>
    <t xml:space="preserve">Янковская</t>
  </si>
  <si>
    <t xml:space="preserve">Алёна</t>
  </si>
  <si>
    <t xml:space="preserve">Не смогу прийти 6 июля</t>
  </si>
  <si>
    <t xml:space="preserve">vk.com/17aaaaaaaaaaaaaaaaaaaaaaaaaaaaa</t>
  </si>
  <si>
    <t xml:space="preserve">alena.yankovskaya.1@gmail.com</t>
  </si>
  <si>
    <t xml:space="preserve">кроме 6 июля</t>
  </si>
  <si>
    <t xml:space="preserve">Едемский</t>
  </si>
  <si>
    <t xml:space="preserve">vk.com/sykessad</t>
  </si>
  <si>
    <t xml:space="preserve">vadimedemskii-05@mail.ru</t>
  </si>
  <si>
    <t xml:space="preserve">Веретенников</t>
  </si>
  <si>
    <t xml:space="preserve">vk.com/demenkovalexey</t>
  </si>
  <si>
    <t xml:space="preserve">veretennikov.a01@mail.ru</t>
  </si>
  <si>
    <t xml:space="preserve">Очень небольшая вероятность, что сможет</t>
  </si>
  <si>
    <t xml:space="preserve">Курбатова</t>
  </si>
  <si>
    <t xml:space="preserve">vk.com/anna.kurbatova99</t>
  </si>
  <si>
    <t xml:space="preserve">kea-sea@ya.ru</t>
  </si>
  <si>
    <t xml:space="preserve">vk.com/id269312243</t>
  </si>
  <si>
    <t xml:space="preserve">masnaja_marina@mail.ru</t>
  </si>
  <si>
    <t xml:space="preserve">vk.com/id276675815</t>
  </si>
  <si>
    <t xml:space="preserve">veronikamoi03@gmail.com</t>
  </si>
  <si>
    <t xml:space="preserve">vk.com/anna_dolgova2004</t>
  </si>
  <si>
    <t xml:space="preserve">Попова</t>
  </si>
  <si>
    <t xml:space="preserve">vk.com/id430049679</t>
  </si>
  <si>
    <t xml:space="preserve">dashuta.popova.2018mom@mail.ru</t>
  </si>
  <si>
    <t xml:space="preserve">Заходила в вк 21 мая</t>
  </si>
  <si>
    <t xml:space="preserve">vk.com/id308485017</t>
  </si>
  <si>
    <t xml:space="preserve">Любавина</t>
  </si>
  <si>
    <t xml:space="preserve">София</t>
  </si>
  <si>
    <t xml:space="preserve">vk.com/sofialyubavina</t>
  </si>
  <si>
    <t xml:space="preserve">sophiaomsk@mail.ru</t>
  </si>
  <si>
    <t xml:space="preserve">Бачинская</t>
  </si>
  <si>
    <t xml:space="preserve">vk.com/pbachinskaya2013</t>
  </si>
  <si>
    <t xml:space="preserve">bachinskaya.polina@mail.ru</t>
  </si>
  <si>
    <t xml:space="preserve">Малышков</t>
  </si>
  <si>
    <t xml:space="preserve">malyshkov.roman@gmail.com</t>
  </si>
  <si>
    <t xml:space="preserve">Ткач</t>
  </si>
  <si>
    <t xml:space="preserve">Буду первые 2 дня</t>
  </si>
  <si>
    <t xml:space="preserve">vk.com/id186803102</t>
  </si>
  <si>
    <t xml:space="preserve">sonytkach@mail.ru</t>
  </si>
  <si>
    <t xml:space="preserve">только 5-6 числа</t>
  </si>
  <si>
    <t xml:space="preserve">vk.com/id249818753</t>
  </si>
  <si>
    <t xml:space="preserve">Бахмутский</t>
  </si>
  <si>
    <t xml:space="preserve">vk.com/id402259781</t>
  </si>
  <si>
    <t xml:space="preserve">suirma@gmail.com</t>
  </si>
  <si>
    <t xml:space="preserve">Уткина</t>
  </si>
  <si>
    <t xml:space="preserve">Лиза</t>
  </si>
  <si>
    <t xml:space="preserve">vk.com/utlisa</t>
  </si>
  <si>
    <t xml:space="preserve">utlisa@mail.ru</t>
  </si>
  <si>
    <t xml:space="preserve">с 7-ого</t>
  </si>
  <si>
    <t xml:space="preserve">Башкатова</t>
  </si>
  <si>
    <t xml:space="preserve">vk.com/id139785776</t>
  </si>
  <si>
    <t xml:space="preserve">bashkatova-2001@mail.ru</t>
  </si>
  <si>
    <t xml:space="preserve">Пирожкова </t>
  </si>
  <si>
    <t xml:space="preserve">vk.com/katyaaaa468</t>
  </si>
  <si>
    <t xml:space="preserve">ekaterina.pirozhkova2@gmail.com</t>
  </si>
  <si>
    <t xml:space="preserve">Виноградова</t>
  </si>
  <si>
    <t xml:space="preserve">vk.com/valeria_vinogradova0</t>
  </si>
  <si>
    <t xml:space="preserve">valera.vinogradowa2015@ya.ru</t>
  </si>
  <si>
    <t xml:space="preserve">Валитов</t>
  </si>
  <si>
    <t xml:space="preserve">vk.com/andrvat</t>
  </si>
  <si>
    <t xml:space="preserve">sidney.44@mail.ru</t>
  </si>
  <si>
    <t xml:space="preserve">Матчин</t>
  </si>
  <si>
    <t xml:space="preserve">Артемий</t>
  </si>
  <si>
    <t xml:space="preserve">vk.com/udav_gosha</t>
  </si>
  <si>
    <t xml:space="preserve">art16ws@gmail.com</t>
  </si>
  <si>
    <t xml:space="preserve">vk.com/sergey80401</t>
  </si>
  <si>
    <t xml:space="preserve">sergey80401@gmail.com</t>
  </si>
  <si>
    <t xml:space="preserve">Всеволод</t>
  </si>
  <si>
    <t xml:space="preserve">vk.com/id288643683</t>
  </si>
  <si>
    <t xml:space="preserve">seva_zakharov@mail.ru</t>
  </si>
  <si>
    <t xml:space="preserve">vk.com/id152267404</t>
  </si>
  <si>
    <t xml:space="preserve">Мельник</t>
  </si>
  <si>
    <t xml:space="preserve">Диана</t>
  </si>
  <si>
    <t xml:space="preserve">vk.com/diamelnik</t>
  </si>
  <si>
    <t xml:space="preserve">dia.84@mail.ru</t>
  </si>
  <si>
    <t xml:space="preserve">Малиновский</t>
  </si>
  <si>
    <t xml:space="preserve">vk.com/id112552816</t>
  </si>
  <si>
    <t xml:space="preserve">ilya.21062001@gmail.com</t>
  </si>
  <si>
    <t xml:space="preserve">Братухина</t>
  </si>
  <si>
    <t xml:space="preserve">al-brat@mail.ru</t>
  </si>
  <si>
    <t xml:space="preserve">Константинова </t>
  </si>
  <si>
    <t xml:space="preserve">vk.com/alinasavchenko0</t>
  </si>
  <si>
    <t xml:space="preserve">ekatty02@mail.ru</t>
  </si>
  <si>
    <t xml:space="preserve">Савиных </t>
  </si>
  <si>
    <t xml:space="preserve">Кристина </t>
  </si>
  <si>
    <t xml:space="preserve">vk.com/id252385302</t>
  </si>
  <si>
    <t xml:space="preserve">cuteunicorn2413@gmail.com</t>
  </si>
  <si>
    <t xml:space="preserve">Терехова </t>
  </si>
  <si>
    <t xml:space="preserve">vk.com/id318731608</t>
  </si>
  <si>
    <t xml:space="preserve">Завьялов</t>
  </si>
  <si>
    <t xml:space="preserve">Гордей</t>
  </si>
  <si>
    <t xml:space="preserve">vk.com/id271711683</t>
  </si>
  <si>
    <t xml:space="preserve">gordey0511@yandex.ru</t>
  </si>
  <si>
    <t xml:space="preserve">vk.com/elimaksi</t>
  </si>
  <si>
    <t xml:space="preserve">Трофимова</t>
  </si>
  <si>
    <t xml:space="preserve">vk.com/id171242575</t>
  </si>
  <si>
    <t xml:space="preserve">alisa28012001@gmail.com</t>
  </si>
  <si>
    <t xml:space="preserve">Красных</t>
  </si>
  <si>
    <t xml:space="preserve">vk.com/idvadichka</t>
  </si>
  <si>
    <t xml:space="preserve">vadikras@list.ru</t>
  </si>
  <si>
    <t xml:space="preserve">Тищенко</t>
  </si>
  <si>
    <t xml:space="preserve">vk.com/neko_murr</t>
  </si>
  <si>
    <t xml:space="preserve">dashyni.tish@gmail.com</t>
  </si>
  <si>
    <t xml:space="preserve">vk.com/id324373436</t>
  </si>
  <si>
    <t xml:space="preserve">yakovleva-evgenia@list.ru</t>
  </si>
  <si>
    <t xml:space="preserve">Торопов</t>
  </si>
  <si>
    <t xml:space="preserve">Павел</t>
  </si>
  <si>
    <t xml:space="preserve">vk.com/avstralo_pitek</t>
  </si>
  <si>
    <t xml:space="preserve">ptoropov02@mail.ru</t>
  </si>
  <si>
    <t xml:space="preserve">Глинская</t>
  </si>
  <si>
    <t xml:space="preserve">Таисия</t>
  </si>
  <si>
    <t xml:space="preserve">vk.com/id200827263</t>
  </si>
  <si>
    <t xml:space="preserve">tasia-rabbit@yandex.ru</t>
  </si>
  <si>
    <t xml:space="preserve">Вероятнее всего, не смогу оставаться на внеучебные мероприятия в некоторые дни, т.к. хожу на плавание.</t>
  </si>
  <si>
    <t xml:space="preserve">vk.com/aderkach2017</t>
  </si>
  <si>
    <t xml:space="preserve">vk.com/s.papakina</t>
  </si>
  <si>
    <t xml:space="preserve">Протазанова</t>
  </si>
  <si>
    <t xml:space="preserve">Ольга</t>
  </si>
  <si>
    <t xml:space="preserve">vk.com/olya.protazanova</t>
  </si>
  <si>
    <t xml:space="preserve">olya.protazanova@mail.ru</t>
  </si>
  <si>
    <t xml:space="preserve">Матвиец</t>
  </si>
  <si>
    <t xml:space="preserve">vk.com/scumlife69</t>
  </si>
  <si>
    <t xml:space="preserve">pororo332@mail.ru</t>
  </si>
  <si>
    <t xml:space="preserve">Аркушенко</t>
  </si>
  <si>
    <t xml:space="preserve">vk.com/m.arkushenko</t>
  </si>
  <si>
    <t xml:space="preserve">arkushenko2004@mail.ru</t>
  </si>
  <si>
    <t xml:space="preserve">vk.com/tixon2002</t>
  </si>
  <si>
    <t xml:space="preserve">Мурашова</t>
  </si>
  <si>
    <t xml:space="preserve"> Могу быть весь учебный день </t>
  </si>
  <si>
    <t xml:space="preserve">vk.com/dimetria03</t>
  </si>
  <si>
    <t xml:space="preserve">diagonal03@mail.ru</t>
  </si>
  <si>
    <t xml:space="preserve">vk.com/id308817000</t>
  </si>
  <si>
    <t xml:space="preserve">katyakochurova@bk.ru</t>
  </si>
  <si>
    <t xml:space="preserve">Терновая</t>
  </si>
  <si>
    <t xml:space="preserve">Надежда</t>
  </si>
  <si>
    <t xml:space="preserve">уезжаю 15.07 из города</t>
  </si>
  <si>
    <t xml:space="preserve">vk.com/nternovaya0</t>
  </si>
  <si>
    <t xml:space="preserve">ternovaya10112002@mail.ru</t>
  </si>
  <si>
    <t xml:space="preserve">Михеев</t>
  </si>
  <si>
    <t xml:space="preserve">vk.com/mikheevii</t>
  </si>
  <si>
    <t xml:space="preserve">Mihilya@list.ru</t>
  </si>
  <si>
    <t xml:space="preserve">только вторую половину </t>
  </si>
  <si>
    <t xml:space="preserve">vk.com/ira_getalova</t>
  </si>
  <si>
    <t xml:space="preserve">Манько </t>
  </si>
  <si>
    <t xml:space="preserve">vk.com/beslizast</t>
  </si>
  <si>
    <t xml:space="preserve">manko_76@mail.ru</t>
  </si>
  <si>
    <t xml:space="preserve">Калабина</t>
  </si>
  <si>
    <t xml:space="preserve">vk.com/id415155344</t>
  </si>
  <si>
    <t xml:space="preserve">anyakalabiba175@gmail.com</t>
  </si>
  <si>
    <t xml:space="preserve">Мозылева</t>
  </si>
  <si>
    <t xml:space="preserve">vk.com/mozyleva_marie</t>
  </si>
  <si>
    <t xml:space="preserve">moz.maris@gmail.com</t>
  </si>
  <si>
    <t xml:space="preserve">vk.com/id440293644</t>
  </si>
  <si>
    <t xml:space="preserve">vk.com/der_beste_god</t>
  </si>
  <si>
    <t xml:space="preserve">darainov@gmail.com</t>
  </si>
  <si>
    <t xml:space="preserve">Зарипов</t>
  </si>
  <si>
    <t xml:space="preserve">vk.com/vadimka_zaripov</t>
  </si>
  <si>
    <t xml:space="preserve">mr.vadimzaripov@mail.ru</t>
  </si>
  <si>
    <t xml:space="preserve">Барнёва </t>
  </si>
  <si>
    <t xml:space="preserve">Софья </t>
  </si>
  <si>
    <t xml:space="preserve">vk.com/id172357435</t>
  </si>
  <si>
    <t xml:space="preserve">Сергеев</t>
  </si>
  <si>
    <t xml:space="preserve">vk.com/homesituation</t>
  </si>
  <si>
    <t xml:space="preserve">al.sergeev-03@mail.ru</t>
  </si>
  <si>
    <t xml:space="preserve">Рожко</t>
  </si>
  <si>
    <t xml:space="preserve">vk.com/id234591697</t>
  </si>
  <si>
    <t xml:space="preserve">alina89618494419@mail.ru</t>
  </si>
  <si>
    <t xml:space="preserve">Поркулевич</t>
  </si>
  <si>
    <t xml:space="preserve">vk.com/id153731120</t>
  </si>
  <si>
    <t xml:space="preserve">vaska.pupkin.1989@list.ru</t>
  </si>
  <si>
    <t xml:space="preserve">Крючков </t>
  </si>
  <si>
    <t xml:space="preserve">vk.com/id207531264</t>
  </si>
  <si>
    <t xml:space="preserve">andrysha.kruchkov@mail.ru</t>
  </si>
  <si>
    <t xml:space="preserve">Абдикеев</t>
  </si>
  <si>
    <t xml:space="preserve">Марат</t>
  </si>
  <si>
    <t xml:space="preserve">vk.com/id415230992</t>
  </si>
  <si>
    <t xml:space="preserve">ifitsme@yandex.ru</t>
  </si>
  <si>
    <t xml:space="preserve">Желнин</t>
  </si>
  <si>
    <t xml:space="preserve">vk.com/doc_ya</t>
  </si>
  <si>
    <t xml:space="preserve">maksim_zhelnin@mail.ru</t>
  </si>
  <si>
    <t xml:space="preserve">Татаурова</t>
  </si>
  <si>
    <t xml:space="preserve">vk.com/sila_11797r649_sila</t>
  </si>
  <si>
    <t xml:space="preserve">sofiya_tataurova@mail.ru</t>
  </si>
  <si>
    <t xml:space="preserve">Малыхина</t>
  </si>
  <si>
    <t xml:space="preserve">смогу начать обучение с 10 июля</t>
  </si>
  <si>
    <t xml:space="preserve">vk.com/id224821133</t>
  </si>
  <si>
    <t xml:space="preserve">nastyam080306@mail.ru</t>
  </si>
  <si>
    <t xml:space="preserve">Булатова</t>
  </si>
  <si>
    <t xml:space="preserve">Виталия</t>
  </si>
  <si>
    <t xml:space="preserve">vk.com/lolpo2006</t>
  </si>
  <si>
    <t xml:space="preserve">bulatova_vita@mail.ru</t>
  </si>
  <si>
    <t xml:space="preserve">vk.com/ann_1907</t>
  </si>
  <si>
    <t xml:space="preserve">Тарасенко</t>
  </si>
  <si>
    <t xml:space="preserve">vk.com/id307165294</t>
  </si>
  <si>
    <t xml:space="preserve">leonid.tara@gmail.com</t>
  </si>
  <si>
    <t xml:space="preserve">Шарифуллин </t>
  </si>
  <si>
    <t xml:space="preserve">Руслан</t>
  </si>
  <si>
    <t xml:space="preserve">vk.com/id223911840</t>
  </si>
  <si>
    <t xml:space="preserve">ruslan31102001@mail.ru</t>
  </si>
  <si>
    <t xml:space="preserve">Кудрявцева</t>
  </si>
  <si>
    <t xml:space="preserve">vk.com/id136912725</t>
  </si>
  <si>
    <t xml:space="preserve">ms.straycer@mail.ru</t>
  </si>
  <si>
    <t xml:space="preserve">Ляшев</t>
  </si>
  <si>
    <t xml:space="preserve">Артём </t>
  </si>
  <si>
    <t xml:space="preserve">Я бы хотел принять участие во втором курсе по биологии. </t>
  </si>
  <si>
    <t xml:space="preserve">vk.com/id85584620</t>
  </si>
  <si>
    <t xml:space="preserve">artem.ru.art@mail.ru</t>
  </si>
  <si>
    <t xml:space="preserve">Юля</t>
  </si>
  <si>
    <t xml:space="preserve">vk.com/dominedeusmf</t>
  </si>
  <si>
    <t xml:space="preserve">Зайцева </t>
  </si>
  <si>
    <t xml:space="preserve">Я могу находиться весь учебный день </t>
  </si>
  <si>
    <t xml:space="preserve">vk.com/wall-95923242_390</t>
  </si>
  <si>
    <t xml:space="preserve">Vikaz2000@yandex.ru</t>
  </si>
  <si>
    <t xml:space="preserve">Гапоненко</t>
  </si>
  <si>
    <t xml:space="preserve">Регина</t>
  </si>
  <si>
    <t xml:space="preserve">vk.com/id152857098</t>
  </si>
  <si>
    <t xml:space="preserve">gregina2000@mail.ru</t>
  </si>
  <si>
    <t xml:space="preserve">Крюкова</t>
  </si>
  <si>
    <t xml:space="preserve">Феодосия</t>
  </si>
  <si>
    <t xml:space="preserve">vk.com/kiparis_zelenenkiy</t>
  </si>
  <si>
    <t xml:space="preserve">611176@mail.ru</t>
  </si>
  <si>
    <t xml:space="preserve">Я не могу участвовать с начала школы, так как буду не в Омске, смогу участвовать с 8 июля. Сестра Александра Полищука :)</t>
  </si>
  <si>
    <t xml:space="preserve">Сутырина </t>
  </si>
  <si>
    <t xml:space="preserve">А есть возможность посещать только линейку и два пары по выбранным предметам или нет? И если возникнут непредвиденные обстоятельства вследствие чего возможен пропуск это простительно? </t>
  </si>
  <si>
    <t xml:space="preserve">vk.com/id356172162</t>
  </si>
  <si>
    <t xml:space="preserve">kozmina_olga_omsk@mail.ru</t>
  </si>
  <si>
    <t xml:space="preserve">Ушаков</t>
  </si>
  <si>
    <t xml:space="preserve">Константин</t>
  </si>
  <si>
    <t xml:space="preserve">vk.com/werrewqr</t>
  </si>
  <si>
    <t xml:space="preserve">ushk2010@yandex.ru</t>
  </si>
  <si>
    <t xml:space="preserve">Милаил</t>
  </si>
  <si>
    <t xml:space="preserve">Таушкина</t>
  </si>
  <si>
    <t xml:space="preserve">Люба</t>
  </si>
  <si>
    <t xml:space="preserve">https://vk.com/mylucky_strike</t>
  </si>
  <si>
    <t xml:space="preserve">Может пропустить пару дней</t>
  </si>
  <si>
    <t xml:space="preserve">https://vk.com/id409884286</t>
  </si>
  <si>
    <t xml:space="preserve">Полякова</t>
  </si>
  <si>
    <t xml:space="preserve">https://vk.com/d.polyakova1</t>
  </si>
  <si>
    <t xml:space="preserve">Кайданович</t>
  </si>
  <si>
    <t xml:space="preserve">Шестаков </t>
  </si>
  <si>
    <t xml:space="preserve">Патронова</t>
  </si>
  <si>
    <t xml:space="preserve">https://vk.com/id306756810</t>
  </si>
  <si>
    <t xml:space="preserve">https://vk.com/ilya_kuzin</t>
  </si>
  <si>
    <t xml:space="preserve">Козловская</t>
  </si>
  <si>
    <t xml:space="preserve">https://vk.com/mariasmb</t>
  </si>
  <si>
    <t xml:space="preserve">Семен</t>
  </si>
  <si>
    <t xml:space="preserve">Ефимова</t>
  </si>
  <si>
    <t xml:space="preserve">Химия</t>
  </si>
  <si>
    <t xml:space="preserve">Кохлов</t>
  </si>
  <si>
    <t xml:space="preserve">Оленева</t>
  </si>
  <si>
    <t xml:space="preserve">Последние 3 дня</t>
  </si>
  <si>
    <t xml:space="preserve">https://vk.com/fuyock</t>
  </si>
  <si>
    <t xml:space="preserve">Никифоров </t>
  </si>
  <si>
    <t xml:space="preserve">Белим</t>
  </si>
  <si>
    <t xml:space="preserve">https://vk.com/belimcatherine</t>
  </si>
  <si>
    <t xml:space="preserve">Корнев </t>
  </si>
  <si>
    <t xml:space="preserve">https://vk.com/keaker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</si>
</sst>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\ h:mm:ss"/>
    <numFmt numFmtId="166" formatCode="General"/>
    <numFmt numFmtId="167" formatCode="dd\.mm\.yyyy"/>
    <numFmt numFmtId="168" formatCode="[h]:mm:ss"/>
    <numFmt numFmtId="169" formatCode="m/d/yyyy"/>
    <numFmt numFmtId="170" formatCode="@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2A5885"/>
      <name val="-apple-system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Inconsolata"/>
      <family val="0"/>
      <charset val="1"/>
    </font>
    <font>
      <u val="single"/>
      <sz val="11"/>
      <color rgb="FF1155CC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Cambria"/>
      <family val="0"/>
      <charset val="1"/>
    </font>
    <font>
      <sz val="14"/>
      <name val="Times New Roman"/>
      <family val="0"/>
    </font>
    <font>
      <sz val="36"/>
      <name val="Cambria"/>
      <family val="0"/>
      <charset val="1"/>
    </font>
    <font>
      <sz val="18"/>
      <color rgb="FF000000"/>
      <name val="Roboto"/>
      <family val="2"/>
    </font>
    <font>
      <sz val="10"/>
      <color rgb="FF000000"/>
      <name val="Roboto"/>
      <family val="2"/>
    </font>
    <font>
      <sz val="10"/>
      <name val="Arial"/>
      <family val="2"/>
    </font>
    <font>
      <b val="true"/>
      <sz val="10"/>
      <color rgb="FF000000"/>
      <name val="Roboto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E599"/>
        <bgColor rgb="FFFCE8B2"/>
      </patternFill>
    </fill>
    <fill>
      <patternFill patternType="solid">
        <fgColor rgb="FF00FF00"/>
        <bgColor rgb="FF00FFFF"/>
      </patternFill>
    </fill>
    <fill>
      <patternFill patternType="solid">
        <fgColor rgb="FFFFF2CC"/>
        <bgColor rgb="FFFCE5CD"/>
      </patternFill>
    </fill>
    <fill>
      <patternFill patternType="solid">
        <fgColor rgb="FFFFD966"/>
        <bgColor rgb="FFFFE599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D0E0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ill>
        <patternFill>
          <bgColor rgb="FFF4C7C3"/>
        </patternFill>
      </fill>
    </dxf>
    <dxf>
      <fill>
        <patternFill>
          <bgColor rgb="FFB7E1CD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4CCCC"/>
        </patternFill>
      </fill>
    </dxf>
    <dxf>
      <fill>
        <patternFill>
          <bgColor rgb="FFCFE2F3"/>
        </patternFill>
      </fill>
    </dxf>
    <dxf>
      <fill>
        <patternFill>
          <bgColor rgb="FFFCE5CD"/>
        </patternFill>
      </fill>
    </dxf>
    <dxf>
      <fill>
        <patternFill>
          <bgColor rgb="FFEAD1DC"/>
        </patternFill>
      </fill>
    </dxf>
    <dxf>
      <fill>
        <patternFill>
          <bgColor rgb="FFFFF2CC"/>
        </patternFill>
      </fill>
    </dxf>
    <dxf>
      <fill>
        <patternFill>
          <bgColor rgb="FFD0E0E3"/>
        </patternFill>
      </fill>
    </dxf>
    <dxf>
      <fill>
        <patternFill>
          <bgColor rgb="FFE6B8AF"/>
        </patternFill>
      </fill>
    </dxf>
    <dxf>
      <fill>
        <patternFill>
          <bgColor rgb="FFFCE8B2"/>
        </patternFill>
      </fill>
    </dxf>
    <dxf>
      <fill>
        <patternFill>
          <bgColor rgb="FFB6D7A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FCE5CD"/>
      <rgbColor rgb="FF800080"/>
      <rgbColor rgb="FF008080"/>
      <rgbColor rgb="FFB7B7B7"/>
      <rgbColor rgb="FFA2C4C9"/>
      <rgbColor rgb="FFA4C2F4"/>
      <rgbColor rgb="FF993366"/>
      <rgbColor rgb="FFFFF2CC"/>
      <rgbColor rgb="FFB7E1CD"/>
      <rgbColor rgb="FF660066"/>
      <rgbColor rgb="FFE6B8AF"/>
      <rgbColor rgb="FF1155CC"/>
      <rgbColor rgb="FFCFE2F3"/>
      <rgbColor rgb="FF000080"/>
      <rgbColor rgb="FFFF00FF"/>
      <rgbColor rgb="FFFFE599"/>
      <rgbColor rgb="FF00FFFF"/>
      <rgbColor rgb="FF800080"/>
      <rgbColor rgb="FF800000"/>
      <rgbColor rgb="FF008080"/>
      <rgbColor rgb="FF0000FF"/>
      <rgbColor rgb="FF00CCFF"/>
      <rgbColor rgb="FFD9D9D9"/>
      <rgbColor rgb="FFD0E0E3"/>
      <rgbColor rgb="FFFCE8B2"/>
      <rgbColor rgb="FF9FC5E8"/>
      <rgbColor rgb="FFEA9999"/>
      <rgbColor rgb="FFB4A7D6"/>
      <rgbColor rgb="FFF9CB9C"/>
      <rgbColor rgb="FF3366CC"/>
      <rgbColor rgb="FFEAD1DC"/>
      <rgbColor rgb="FFB6D7A8"/>
      <rgbColor rgb="FFFFD966"/>
      <rgbColor rgb="FFF4C7C3"/>
      <rgbColor rgb="FFF4CCCC"/>
      <rgbColor rgb="FF666699"/>
      <rgbColor rgb="FFD5A6BD"/>
      <rgbColor rgb="FF003366"/>
      <rgbColor rgb="FF339966"/>
      <rgbColor rgb="FF003300"/>
      <rgbColor rgb="FF333300"/>
      <rgbColor rgb="FFDC3912"/>
      <rgbColor rgb="FF993366"/>
      <rgbColor rgb="FF2A588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Распределение по классам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3366c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Картинки!$A$1:$A$6</c:f>
              <c:strCach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strCache>
            </c:strRef>
          </c:cat>
          <c:val>
            <c:numRef>
              <c:f>Картинки!$B$1:$B$6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gapWidth val="150"/>
        <c:overlap val="0"/>
        <c:axId val="86133467"/>
        <c:axId val="79429677"/>
      </c:barChart>
      <c:catAx>
        <c:axId val="8613346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79429677"/>
        <c:crosses val="autoZero"/>
        <c:auto val="1"/>
        <c:lblAlgn val="ctr"/>
        <c:lblOffset val="100"/>
        <c:noMultiLvlLbl val="0"/>
      </c:catAx>
      <c:valAx>
        <c:axId val="79429677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8613346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Число регистраций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Картинки!$B$15</c:f>
              <c:strCache>
                <c:ptCount val="1"/>
                <c:pt idx="0">
                  <c:v>В день</c:v>
                </c:pt>
              </c:strCache>
            </c:strRef>
          </c:tx>
          <c:spPr>
            <a:solidFill>
              <a:srgbClr val="3366cc"/>
            </a:solidFill>
            <a:ln w="0">
              <a:solidFill>
                <a:srgbClr val="3366cc"/>
              </a:solidFill>
            </a:ln>
          </c:spPr>
          <c:marker>
            <c:symbol val="circle"/>
            <c:size val="4"/>
            <c:spPr>
              <a:solidFill>
                <a:srgbClr val="3366c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Картинки!$A$16:$A$71</c:f>
              <c:strCache>
                <c:ptCount val="56"/>
                <c:pt idx="0">
                  <c:v>5/10/2019</c:v>
                </c:pt>
                <c:pt idx="1">
                  <c:v>5/11/2019</c:v>
                </c:pt>
                <c:pt idx="2">
                  <c:v>5/12/2019</c:v>
                </c:pt>
                <c:pt idx="3">
                  <c:v>5/13/2019</c:v>
                </c:pt>
                <c:pt idx="4">
                  <c:v>5/14/2019</c:v>
                </c:pt>
                <c:pt idx="5">
                  <c:v>5/15/2019</c:v>
                </c:pt>
                <c:pt idx="6">
                  <c:v>5/16/2019</c:v>
                </c:pt>
                <c:pt idx="7">
                  <c:v>5/17/2019</c:v>
                </c:pt>
                <c:pt idx="8">
                  <c:v>5/18/2019</c:v>
                </c:pt>
                <c:pt idx="9">
                  <c:v>5/19/2019</c:v>
                </c:pt>
                <c:pt idx="10">
                  <c:v>5/20/2019</c:v>
                </c:pt>
                <c:pt idx="11">
                  <c:v>5/21/2019</c:v>
                </c:pt>
                <c:pt idx="12">
                  <c:v>5/22/2019</c:v>
                </c:pt>
                <c:pt idx="13">
                  <c:v>5/23/2019</c:v>
                </c:pt>
                <c:pt idx="14">
                  <c:v>5/24/2019</c:v>
                </c:pt>
                <c:pt idx="15">
                  <c:v>5/25/2019</c:v>
                </c:pt>
                <c:pt idx="16">
                  <c:v>5/26/2019</c:v>
                </c:pt>
                <c:pt idx="17">
                  <c:v>5/27/2019</c:v>
                </c:pt>
                <c:pt idx="18">
                  <c:v>5/28/2019</c:v>
                </c:pt>
                <c:pt idx="19">
                  <c:v>5/29/2019</c:v>
                </c:pt>
                <c:pt idx="20">
                  <c:v>5/30/2019</c:v>
                </c:pt>
                <c:pt idx="21">
                  <c:v>5/31/2019</c:v>
                </c:pt>
                <c:pt idx="22">
                  <c:v>6/1/2019</c:v>
                </c:pt>
                <c:pt idx="23">
                  <c:v>6/2/2019</c:v>
                </c:pt>
                <c:pt idx="24">
                  <c:v>6/3/2019</c:v>
                </c:pt>
                <c:pt idx="25">
                  <c:v>6/4/2019</c:v>
                </c:pt>
                <c:pt idx="26">
                  <c:v>6/5/2019</c:v>
                </c:pt>
                <c:pt idx="27">
                  <c:v>6/6/2019</c:v>
                </c:pt>
                <c:pt idx="28">
                  <c:v>6/7/2019</c:v>
                </c:pt>
                <c:pt idx="29">
                  <c:v>6/8/2019</c:v>
                </c:pt>
                <c:pt idx="30">
                  <c:v>6/9/2019</c:v>
                </c:pt>
                <c:pt idx="31">
                  <c:v>6/10/2019</c:v>
                </c:pt>
                <c:pt idx="32">
                  <c:v>6/11/2019</c:v>
                </c:pt>
                <c:pt idx="33">
                  <c:v>6/12/2019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Картинки!$B$16:$B$71</c:f>
              <c:numCache>
                <c:formatCode>General</c:formatCode>
                <c:ptCount val="56"/>
                <c:pt idx="0">
                  <c:v>0</c:v>
                </c:pt>
                <c:pt idx="1">
                  <c:v>191</c:v>
                </c:pt>
                <c:pt idx="2">
                  <c:v>191</c:v>
                </c:pt>
                <c:pt idx="3">
                  <c:v>191</c:v>
                </c:pt>
                <c:pt idx="4">
                  <c:v>191</c:v>
                </c:pt>
                <c:pt idx="5">
                  <c:v>191</c:v>
                </c:pt>
                <c:pt idx="6">
                  <c:v>191</c:v>
                </c:pt>
                <c:pt idx="7">
                  <c:v>191</c:v>
                </c:pt>
                <c:pt idx="8">
                  <c:v>191</c:v>
                </c:pt>
                <c:pt idx="9">
                  <c:v>191</c:v>
                </c:pt>
                <c:pt idx="10">
                  <c:v>191</c:v>
                </c:pt>
                <c:pt idx="11">
                  <c:v>191</c:v>
                </c:pt>
                <c:pt idx="12">
                  <c:v>191</c:v>
                </c:pt>
                <c:pt idx="13">
                  <c:v>191</c:v>
                </c:pt>
                <c:pt idx="14">
                  <c:v>191</c:v>
                </c:pt>
                <c:pt idx="15">
                  <c:v>191</c:v>
                </c:pt>
                <c:pt idx="16">
                  <c:v>191</c:v>
                </c:pt>
                <c:pt idx="17">
                  <c:v>191</c:v>
                </c:pt>
                <c:pt idx="18">
                  <c:v>191</c:v>
                </c:pt>
                <c:pt idx="19">
                  <c:v>191</c:v>
                </c:pt>
                <c:pt idx="20">
                  <c:v>191</c:v>
                </c:pt>
                <c:pt idx="21">
                  <c:v>191</c:v>
                </c:pt>
                <c:pt idx="22">
                  <c:v>191</c:v>
                </c:pt>
                <c:pt idx="23">
                  <c:v>191</c:v>
                </c:pt>
                <c:pt idx="24">
                  <c:v>191</c:v>
                </c:pt>
                <c:pt idx="25">
                  <c:v>191</c:v>
                </c:pt>
                <c:pt idx="26">
                  <c:v>191</c:v>
                </c:pt>
                <c:pt idx="27">
                  <c:v>191</c:v>
                </c:pt>
                <c:pt idx="28">
                  <c:v>191</c:v>
                </c:pt>
                <c:pt idx="29">
                  <c:v>191</c:v>
                </c:pt>
                <c:pt idx="30">
                  <c:v>191</c:v>
                </c:pt>
                <c:pt idx="31">
                  <c:v>191</c:v>
                </c:pt>
                <c:pt idx="32">
                  <c:v>191</c:v>
                </c:pt>
                <c:pt idx="33">
                  <c:v>191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Картинки!$C$15</c:f>
              <c:strCache>
                <c:ptCount val="1"/>
                <c:pt idx="0">
                  <c:v>Кумулятивно</c:v>
                </c:pt>
              </c:strCache>
            </c:strRef>
          </c:tx>
          <c:spPr>
            <a:solidFill>
              <a:srgbClr val="dc3912"/>
            </a:solidFill>
            <a:ln w="0">
              <a:solidFill>
                <a:srgbClr val="dc3912"/>
              </a:solidFill>
            </a:ln>
          </c:spPr>
          <c:marker>
            <c:symbol val="circle"/>
            <c:size val="4"/>
            <c:spPr>
              <a:solidFill>
                <a:srgbClr val="dc3912"/>
              </a:solidFill>
            </c:spPr>
          </c:marker>
          <c:dLbls>
            <c:numFmt formatCode="General" sourceLinked="1"/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Картинки!$A$16:$A$71</c:f>
              <c:strCache>
                <c:ptCount val="56"/>
                <c:pt idx="0">
                  <c:v>5/10/2019</c:v>
                </c:pt>
                <c:pt idx="1">
                  <c:v>5/11/2019</c:v>
                </c:pt>
                <c:pt idx="2">
                  <c:v>5/12/2019</c:v>
                </c:pt>
                <c:pt idx="3">
                  <c:v>5/13/2019</c:v>
                </c:pt>
                <c:pt idx="4">
                  <c:v>5/14/2019</c:v>
                </c:pt>
                <c:pt idx="5">
                  <c:v>5/15/2019</c:v>
                </c:pt>
                <c:pt idx="6">
                  <c:v>5/16/2019</c:v>
                </c:pt>
                <c:pt idx="7">
                  <c:v>5/17/2019</c:v>
                </c:pt>
                <c:pt idx="8">
                  <c:v>5/18/2019</c:v>
                </c:pt>
                <c:pt idx="9">
                  <c:v>5/19/2019</c:v>
                </c:pt>
                <c:pt idx="10">
                  <c:v>5/20/2019</c:v>
                </c:pt>
                <c:pt idx="11">
                  <c:v>5/21/2019</c:v>
                </c:pt>
                <c:pt idx="12">
                  <c:v>5/22/2019</c:v>
                </c:pt>
                <c:pt idx="13">
                  <c:v>5/23/2019</c:v>
                </c:pt>
                <c:pt idx="14">
                  <c:v>5/24/2019</c:v>
                </c:pt>
                <c:pt idx="15">
                  <c:v>5/25/2019</c:v>
                </c:pt>
                <c:pt idx="16">
                  <c:v>5/26/2019</c:v>
                </c:pt>
                <c:pt idx="17">
                  <c:v>5/27/2019</c:v>
                </c:pt>
                <c:pt idx="18">
                  <c:v>5/28/2019</c:v>
                </c:pt>
                <c:pt idx="19">
                  <c:v>5/29/2019</c:v>
                </c:pt>
                <c:pt idx="20">
                  <c:v>5/30/2019</c:v>
                </c:pt>
                <c:pt idx="21">
                  <c:v>5/31/2019</c:v>
                </c:pt>
                <c:pt idx="22">
                  <c:v>6/1/2019</c:v>
                </c:pt>
                <c:pt idx="23">
                  <c:v>6/2/2019</c:v>
                </c:pt>
                <c:pt idx="24">
                  <c:v>6/3/2019</c:v>
                </c:pt>
                <c:pt idx="25">
                  <c:v>6/4/2019</c:v>
                </c:pt>
                <c:pt idx="26">
                  <c:v>6/5/2019</c:v>
                </c:pt>
                <c:pt idx="27">
                  <c:v>6/6/2019</c:v>
                </c:pt>
                <c:pt idx="28">
                  <c:v>6/7/2019</c:v>
                </c:pt>
                <c:pt idx="29">
                  <c:v>6/8/2019</c:v>
                </c:pt>
                <c:pt idx="30">
                  <c:v>6/9/2019</c:v>
                </c:pt>
                <c:pt idx="31">
                  <c:v>6/10/2019</c:v>
                </c:pt>
                <c:pt idx="32">
                  <c:v>6/11/2019</c:v>
                </c:pt>
                <c:pt idx="33">
                  <c:v>6/12/2019</c:v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</c:strCache>
            </c:strRef>
          </c:cat>
          <c:val>
            <c:numRef>
              <c:f>Картинки!$C$16:$C$71</c:f>
              <c:numCache>
                <c:formatCode>General</c:formatCode>
                <c:ptCount val="56"/>
                <c:pt idx="0">
                  <c:v>0</c:v>
                </c:pt>
                <c:pt idx="1">
                  <c:v>191</c:v>
                </c:pt>
                <c:pt idx="2">
                  <c:v>382</c:v>
                </c:pt>
                <c:pt idx="3">
                  <c:v>573</c:v>
                </c:pt>
                <c:pt idx="4">
                  <c:v>764</c:v>
                </c:pt>
                <c:pt idx="5">
                  <c:v>955</c:v>
                </c:pt>
                <c:pt idx="6">
                  <c:v>1146</c:v>
                </c:pt>
                <c:pt idx="7">
                  <c:v>1337</c:v>
                </c:pt>
                <c:pt idx="8">
                  <c:v>1528</c:v>
                </c:pt>
                <c:pt idx="9">
                  <c:v>1719</c:v>
                </c:pt>
                <c:pt idx="10">
                  <c:v>1910</c:v>
                </c:pt>
                <c:pt idx="11">
                  <c:v>2101</c:v>
                </c:pt>
                <c:pt idx="12">
                  <c:v>2292</c:v>
                </c:pt>
                <c:pt idx="13">
                  <c:v>2483</c:v>
                </c:pt>
                <c:pt idx="14">
                  <c:v>2674</c:v>
                </c:pt>
                <c:pt idx="15">
                  <c:v>2865</c:v>
                </c:pt>
                <c:pt idx="16">
                  <c:v>3056</c:v>
                </c:pt>
                <c:pt idx="17">
                  <c:v>3247</c:v>
                </c:pt>
                <c:pt idx="18">
                  <c:v>3438</c:v>
                </c:pt>
                <c:pt idx="19">
                  <c:v>3629</c:v>
                </c:pt>
                <c:pt idx="20">
                  <c:v>3820</c:v>
                </c:pt>
                <c:pt idx="21">
                  <c:v>4011</c:v>
                </c:pt>
                <c:pt idx="22">
                  <c:v>4202</c:v>
                </c:pt>
                <c:pt idx="23">
                  <c:v>4393</c:v>
                </c:pt>
                <c:pt idx="24">
                  <c:v>4584</c:v>
                </c:pt>
                <c:pt idx="25">
                  <c:v>4775</c:v>
                </c:pt>
                <c:pt idx="26">
                  <c:v>4966</c:v>
                </c:pt>
                <c:pt idx="27">
                  <c:v>5157</c:v>
                </c:pt>
                <c:pt idx="28">
                  <c:v>5348</c:v>
                </c:pt>
                <c:pt idx="29">
                  <c:v>5539</c:v>
                </c:pt>
                <c:pt idx="30">
                  <c:v>5730</c:v>
                </c:pt>
                <c:pt idx="31">
                  <c:v>5921</c:v>
                </c:pt>
                <c:pt idx="32">
                  <c:v>6112</c:v>
                </c:pt>
                <c:pt idx="33">
                  <c:v>6303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0465818"/>
        <c:axId val="93105878"/>
      </c:lineChart>
      <c:catAx>
        <c:axId val="3046581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93105878"/>
        <c:crosses val="autoZero"/>
        <c:auto val="1"/>
        <c:lblAlgn val="ctr"/>
        <c:lblOffset val="100"/>
        <c:noMultiLvlLbl val="0"/>
      </c:catAx>
      <c:valAx>
        <c:axId val="93105878"/>
        <c:scaling>
          <c:orientation val="minMax"/>
        </c:scaling>
        <c:delete val="0"/>
        <c:axPos val="l"/>
        <c:majorGridlines>
          <c:spPr>
            <a:ln w="0">
              <a:solidFill>
                <a:srgbClr val="b7b7b7"/>
              </a:solidFill>
            </a:ln>
          </c:spPr>
        </c:majorGridlines>
        <c:numFmt formatCode="General" sourceLinked="0"/>
        <c:majorTickMark val="none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30465818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Старички и новички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a4c2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Картинки!$J$16:$J$17</c:f>
              <c:strCache>
                <c:ptCount val="2"/>
                <c:pt idx="0">
                  <c:v>Старички</c:v>
                </c:pt>
                <c:pt idx="1">
                  <c:v>Новички</c:v>
                </c:pt>
              </c:strCache>
            </c:strRef>
          </c:cat>
          <c:val>
            <c:numRef>
              <c:f>Картинки!$K$16:$K$17</c:f>
              <c:numCache>
                <c:formatCode>General</c:formatCode>
                <c:ptCount val="2"/>
                <c:pt idx="0">
                  <c:v>51</c:v>
                </c:pt>
                <c:pt idx="1">
                  <c:v>124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Распределение по школам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9fc5e8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9cb9c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4"/>
            <c:spPr>
              <a:solidFill>
                <a:srgbClr val="b4a7d6"/>
              </a:solidFill>
              <a:ln w="0">
                <a:noFill/>
              </a:ln>
            </c:spPr>
          </c:dPt>
          <c:dPt>
            <c:idx val="5"/>
            <c:spPr>
              <a:solidFill>
                <a:srgbClr val="a2c4c9"/>
              </a:solidFill>
              <a:ln w="0">
                <a:noFill/>
              </a:ln>
            </c:spPr>
          </c:dPt>
          <c:dPt>
            <c:idx val="6"/>
            <c:spPr>
              <a:solidFill>
                <a:srgbClr val="d5a6bd"/>
              </a:solidFill>
              <a:ln w="0">
                <a:noFill/>
              </a:ln>
            </c:spPr>
          </c:dPt>
          <c:dPt>
            <c:idx val="7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8"/>
            <c:spPr>
              <a:solidFill>
                <a:srgbClr val="ffe599"/>
              </a:solidFill>
              <a:ln w="0">
                <a:noFill/>
              </a:ln>
            </c:spPr>
          </c:dPt>
          <c:dPt>
            <c:idx val="9"/>
            <c:spPr>
              <a:solidFill>
                <a:srgbClr val="b4a7d6"/>
              </a:solidFill>
              <a:ln w="0">
                <a:noFill/>
              </a:ln>
            </c:spPr>
          </c:dPt>
          <c:dPt>
            <c:idx val="10"/>
            <c:spPr>
              <a:noFill/>
              <a:ln w="0">
                <a:noFill/>
              </a:ln>
            </c:spPr>
          </c:dPt>
          <c:dPt>
            <c:idx val="11"/>
            <c:spPr>
              <a:noFill/>
              <a:ln w="0">
                <a:noFill/>
              </a:ln>
            </c:spPr>
          </c:dPt>
          <c:dPt>
            <c:idx val="12"/>
            <c:spPr>
              <a:noFill/>
              <a:ln w="0">
                <a:noFill/>
              </a:ln>
            </c:spPr>
          </c:dPt>
          <c:dPt>
            <c:idx val="13"/>
            <c:spPr>
              <a:noFill/>
              <a:ln w="0">
                <a:noFill/>
              </a:ln>
            </c:spPr>
          </c:dPt>
          <c:dPt>
            <c:idx val="14"/>
            <c:spPr>
              <a:noFill/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Картинки!$H$1:$H$15</c:f>
              <c:strCache>
                <c:ptCount val="15"/>
                <c:pt idx="0">
                  <c:v>117</c:v>
                </c:pt>
                <c:pt idx="1">
                  <c:v>64</c:v>
                </c:pt>
                <c:pt idx="2">
                  <c:v>150</c:v>
                </c:pt>
                <c:pt idx="3">
                  <c:v>7</c:v>
                </c:pt>
                <c:pt idx="4">
                  <c:v>166</c:v>
                </c:pt>
                <c:pt idx="5">
                  <c:v>139</c:v>
                </c:pt>
                <c:pt idx="6">
                  <c:v>149</c:v>
                </c:pt>
                <c:pt idx="7">
                  <c:v>74</c:v>
                </c:pt>
                <c:pt idx="8">
                  <c:v>140</c:v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>остальные</c:v>
                </c:pt>
              </c:strCache>
            </c:strRef>
          </c:cat>
          <c:val>
            <c:numRef>
              <c:f>Картинки!$I$1:$I$15</c:f>
              <c:numCache>
                <c:formatCode>General</c:formatCode>
                <c:ptCount val="15"/>
                <c:pt idx="0">
                  <c:v>85</c:v>
                </c:pt>
                <c:pt idx="1">
                  <c:v>13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9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14">
                  <c:v>39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000000"/>
                </a:solidFill>
                <a:latin typeface="Roboto"/>
              </a:defRPr>
            </a:pPr>
            <a:r>
              <a:rPr b="0" sz="1800" spc="-1" strike="noStrike">
                <a:solidFill>
                  <a:srgbClr val="000000"/>
                </a:solidFill>
                <a:latin typeface="Roboto"/>
              </a:rPr>
              <a:t>Точность бытия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spPr>
            <a:noFill/>
            <a:ln w="0">
              <a:noFill/>
            </a:ln>
          </c:spPr>
          <c:explosion val="0"/>
          <c:dPt>
            <c:idx val="0"/>
            <c:spPr>
              <a:solidFill>
                <a:srgbClr val="ea9999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e599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fc5e8"/>
              </a:solidFill>
              <a:ln w="0">
                <a:noFill/>
              </a:ln>
            </c:spPr>
          </c:dPt>
          <c:dPt>
            <c:idx val="3"/>
            <c:spPr>
              <a:solidFill>
                <a:srgbClr val="b6d7a8"/>
              </a:solidFill>
              <a:ln w="0">
                <a:noFill/>
              </a:ln>
            </c:spPr>
          </c:dPt>
          <c:dPt>
            <c:idx val="4"/>
            <c:spPr>
              <a:noFill/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Картинки!$D$35:$D$38</c:f>
              <c:strCache>
                <c:ptCount val="4"/>
                <c:pt idx="0">
                  <c:v>не будет</c:v>
                </c:pt>
                <c:pt idx="1">
                  <c:v>не спрашивали</c:v>
                </c:pt>
                <c:pt idx="2">
                  <c:v>спросили</c:v>
                </c:pt>
                <c:pt idx="3">
                  <c:v>будет</c:v>
                </c:pt>
              </c:strCache>
            </c:strRef>
          </c:cat>
          <c:val>
            <c:numRef>
              <c:f>Картинки!$F$35:$F$39</c:f>
              <c:numCache>
                <c:formatCode>General</c:formatCode>
                <c:ptCount val="5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143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1" sz="1000" spc="-1" strike="noStrike">
              <a:solidFill>
                <a:srgbClr val="000000"/>
              </a:solidFill>
              <a:latin typeface="Roboto"/>
            </a:defRPr>
          </a:pPr>
        </a:p>
      </c:txPr>
    </c:legend>
    <c:plotVisOnly val="1"/>
    <c:dispBlanksAs val="zero"/>
  </c:chart>
  <c:spPr>
    <a:noFill/>
    <a:ln w="9360">
      <a:solidFill>
        <a:srgbClr val="d9d9d9"/>
      </a:solidFill>
      <a:round/>
    </a:ln>
  </c:spPr>
</c:chartSpace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Relationship Id="rId3" Type="http://schemas.openxmlformats.org/officeDocument/2006/relationships/chart" Target="../charts/chart29.xml"/><Relationship Id="rId4" Type="http://schemas.openxmlformats.org/officeDocument/2006/relationships/chart" Target="../charts/chart30.xml"/><Relationship Id="rId5" Type="http://schemas.openxmlformats.org/officeDocument/2006/relationships/chart" Target="../charts/chart3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581040</xdr:colOff>
      <xdr:row>6</xdr:row>
      <xdr:rowOff>76320</xdr:rowOff>
    </xdr:from>
    <xdr:to>
      <xdr:col>13</xdr:col>
      <xdr:colOff>230400</xdr:colOff>
      <xdr:row>10</xdr:row>
      <xdr:rowOff>170640</xdr:rowOff>
    </xdr:to>
    <xdr:sp>
      <xdr:nvSpPr>
        <xdr:cNvPr id="0" name="Shape 3"/>
        <xdr:cNvSpPr/>
      </xdr:nvSpPr>
      <xdr:spPr>
        <a:xfrm>
          <a:off x="10599840" y="1276200"/>
          <a:ext cx="1687680" cy="89460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Upload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581040</xdr:colOff>
      <xdr:row>12</xdr:row>
      <xdr:rowOff>28440</xdr:rowOff>
    </xdr:from>
    <xdr:to>
      <xdr:col>13</xdr:col>
      <xdr:colOff>230400</xdr:colOff>
      <xdr:row>16</xdr:row>
      <xdr:rowOff>122760</xdr:rowOff>
    </xdr:to>
    <xdr:sp>
      <xdr:nvSpPr>
        <xdr:cNvPr id="1" name="Shape 4"/>
        <xdr:cNvSpPr/>
      </xdr:nvSpPr>
      <xdr:spPr>
        <a:xfrm>
          <a:off x="10599840" y="2428560"/>
          <a:ext cx="1687680" cy="894600"/>
        </a:xfrm>
        <a:prstGeom prst="roundRect">
          <a:avLst>
            <a:gd name="adj" fmla="val 16667"/>
          </a:avLst>
        </a:prstGeom>
        <a:solidFill>
          <a:srgbClr val="d9ead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Download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581040</xdr:colOff>
      <xdr:row>6</xdr:row>
      <xdr:rowOff>76320</xdr:rowOff>
    </xdr:from>
    <xdr:to>
      <xdr:col>13</xdr:col>
      <xdr:colOff>230400</xdr:colOff>
      <xdr:row>10</xdr:row>
      <xdr:rowOff>170640</xdr:rowOff>
    </xdr:to>
    <xdr:sp>
      <xdr:nvSpPr>
        <xdr:cNvPr id="2" name="Shape 3"/>
        <xdr:cNvSpPr/>
      </xdr:nvSpPr>
      <xdr:spPr>
        <a:xfrm>
          <a:off x="10549800" y="1276200"/>
          <a:ext cx="1687680" cy="89460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Upload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581040</xdr:colOff>
      <xdr:row>12</xdr:row>
      <xdr:rowOff>28440</xdr:rowOff>
    </xdr:from>
    <xdr:to>
      <xdr:col>13</xdr:col>
      <xdr:colOff>230400</xdr:colOff>
      <xdr:row>16</xdr:row>
      <xdr:rowOff>122760</xdr:rowOff>
    </xdr:to>
    <xdr:sp>
      <xdr:nvSpPr>
        <xdr:cNvPr id="3" name="Shape 4"/>
        <xdr:cNvSpPr/>
      </xdr:nvSpPr>
      <xdr:spPr>
        <a:xfrm>
          <a:off x="10549800" y="2428560"/>
          <a:ext cx="1687680" cy="894600"/>
        </a:xfrm>
        <a:prstGeom prst="roundRect">
          <a:avLst>
            <a:gd name="adj" fmla="val 16667"/>
          </a:avLst>
        </a:prstGeom>
        <a:solidFill>
          <a:srgbClr val="d9ead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Download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581040</xdr:colOff>
      <xdr:row>6</xdr:row>
      <xdr:rowOff>76320</xdr:rowOff>
    </xdr:from>
    <xdr:to>
      <xdr:col>13</xdr:col>
      <xdr:colOff>230040</xdr:colOff>
      <xdr:row>10</xdr:row>
      <xdr:rowOff>170640</xdr:rowOff>
    </xdr:to>
    <xdr:sp>
      <xdr:nvSpPr>
        <xdr:cNvPr id="4" name="Shape 3"/>
        <xdr:cNvSpPr/>
      </xdr:nvSpPr>
      <xdr:spPr>
        <a:xfrm>
          <a:off x="10570680" y="1276200"/>
          <a:ext cx="1687320" cy="89460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Upload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581040</xdr:colOff>
      <xdr:row>12</xdr:row>
      <xdr:rowOff>28440</xdr:rowOff>
    </xdr:from>
    <xdr:to>
      <xdr:col>13</xdr:col>
      <xdr:colOff>239760</xdr:colOff>
      <xdr:row>16</xdr:row>
      <xdr:rowOff>75240</xdr:rowOff>
    </xdr:to>
    <xdr:sp>
      <xdr:nvSpPr>
        <xdr:cNvPr id="5" name="Shape 4"/>
        <xdr:cNvSpPr/>
      </xdr:nvSpPr>
      <xdr:spPr>
        <a:xfrm>
          <a:off x="10570680" y="2428560"/>
          <a:ext cx="1697040" cy="847080"/>
        </a:xfrm>
        <a:prstGeom prst="roundRect">
          <a:avLst>
            <a:gd name="adj" fmla="val 16667"/>
          </a:avLst>
        </a:prstGeom>
        <a:solidFill>
          <a:srgbClr val="d9ead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Download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581040</xdr:colOff>
      <xdr:row>6</xdr:row>
      <xdr:rowOff>76320</xdr:rowOff>
    </xdr:from>
    <xdr:to>
      <xdr:col>13</xdr:col>
      <xdr:colOff>230400</xdr:colOff>
      <xdr:row>10</xdr:row>
      <xdr:rowOff>170640</xdr:rowOff>
    </xdr:to>
    <xdr:sp>
      <xdr:nvSpPr>
        <xdr:cNvPr id="6" name="Shape 3"/>
        <xdr:cNvSpPr/>
      </xdr:nvSpPr>
      <xdr:spPr>
        <a:xfrm>
          <a:off x="10649880" y="1276200"/>
          <a:ext cx="1688040" cy="89460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Upload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581040</xdr:colOff>
      <xdr:row>12</xdr:row>
      <xdr:rowOff>28440</xdr:rowOff>
    </xdr:from>
    <xdr:to>
      <xdr:col>13</xdr:col>
      <xdr:colOff>230400</xdr:colOff>
      <xdr:row>16</xdr:row>
      <xdr:rowOff>122760</xdr:rowOff>
    </xdr:to>
    <xdr:sp>
      <xdr:nvSpPr>
        <xdr:cNvPr id="7" name="Shape 4"/>
        <xdr:cNvSpPr/>
      </xdr:nvSpPr>
      <xdr:spPr>
        <a:xfrm>
          <a:off x="10649880" y="2428560"/>
          <a:ext cx="1688040" cy="894600"/>
        </a:xfrm>
        <a:prstGeom prst="roundRect">
          <a:avLst>
            <a:gd name="adj" fmla="val 16667"/>
          </a:avLst>
        </a:prstGeom>
        <a:solidFill>
          <a:srgbClr val="d9ead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Download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952560</xdr:colOff>
      <xdr:row>0</xdr:row>
      <xdr:rowOff>0</xdr:rowOff>
    </xdr:from>
    <xdr:to>
      <xdr:col>6</xdr:col>
      <xdr:colOff>182160</xdr:colOff>
      <xdr:row>14</xdr:row>
      <xdr:rowOff>132840</xdr:rowOff>
    </xdr:to>
    <xdr:graphicFrame>
      <xdr:nvGraphicFramePr>
        <xdr:cNvPr id="8" name="Chart 1"/>
        <xdr:cNvGraphicFramePr/>
      </xdr:nvGraphicFramePr>
      <xdr:xfrm>
        <a:off x="1971720" y="0"/>
        <a:ext cx="4738680" cy="293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942840</xdr:colOff>
      <xdr:row>14</xdr:row>
      <xdr:rowOff>152280</xdr:rowOff>
    </xdr:from>
    <xdr:to>
      <xdr:col>8</xdr:col>
      <xdr:colOff>135720</xdr:colOff>
      <xdr:row>32</xdr:row>
      <xdr:rowOff>84600</xdr:rowOff>
    </xdr:to>
    <xdr:graphicFrame>
      <xdr:nvGraphicFramePr>
        <xdr:cNvPr id="9" name="Chart 2"/>
        <xdr:cNvGraphicFramePr/>
      </xdr:nvGraphicFramePr>
      <xdr:xfrm>
        <a:off x="2981160" y="2952360"/>
        <a:ext cx="572112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114480</xdr:colOff>
      <xdr:row>17</xdr:row>
      <xdr:rowOff>38160</xdr:rowOff>
    </xdr:from>
    <xdr:to>
      <xdr:col>12</xdr:col>
      <xdr:colOff>774720</xdr:colOff>
      <xdr:row>30</xdr:row>
      <xdr:rowOff>199440</xdr:rowOff>
    </xdr:to>
    <xdr:graphicFrame>
      <xdr:nvGraphicFramePr>
        <xdr:cNvPr id="10" name="Chart 3"/>
        <xdr:cNvGraphicFramePr/>
      </xdr:nvGraphicFramePr>
      <xdr:xfrm>
        <a:off x="9700200" y="3438360"/>
        <a:ext cx="3717720" cy="2761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19080</xdr:colOff>
      <xdr:row>0</xdr:row>
      <xdr:rowOff>0</xdr:rowOff>
    </xdr:from>
    <xdr:to>
      <xdr:col>13</xdr:col>
      <xdr:colOff>614160</xdr:colOff>
      <xdr:row>14</xdr:row>
      <xdr:rowOff>75600</xdr:rowOff>
    </xdr:to>
    <xdr:graphicFrame>
      <xdr:nvGraphicFramePr>
        <xdr:cNvPr id="11" name="Chart 4"/>
        <xdr:cNvGraphicFramePr/>
      </xdr:nvGraphicFramePr>
      <xdr:xfrm>
        <a:off x="9604800" y="0"/>
        <a:ext cx="4671720" cy="287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76320</xdr:colOff>
      <xdr:row>33</xdr:row>
      <xdr:rowOff>85680</xdr:rowOff>
    </xdr:from>
    <xdr:to>
      <xdr:col>10</xdr:col>
      <xdr:colOff>680760</xdr:colOff>
      <xdr:row>47</xdr:row>
      <xdr:rowOff>180000</xdr:rowOff>
    </xdr:to>
    <xdr:graphicFrame>
      <xdr:nvGraphicFramePr>
        <xdr:cNvPr id="12" name="Chart 5"/>
        <xdr:cNvGraphicFramePr/>
      </xdr:nvGraphicFramePr>
      <xdr:xfrm>
        <a:off x="6604560" y="6686280"/>
        <a:ext cx="4681080" cy="2894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k.com/aliceintowonderland" TargetMode="External"/><Relationship Id="rId3" Type="http://schemas.openxmlformats.org/officeDocument/2006/relationships/hyperlink" Target="https://vk.com/id451195781" TargetMode="External"/><Relationship Id="rId4" Type="http://schemas.openxmlformats.org/officeDocument/2006/relationships/hyperlink" Target="https://vk.com/id339456210" TargetMode="External"/><Relationship Id="rId5" Type="http://schemas.openxmlformats.org/officeDocument/2006/relationships/hyperlink" Target="https://vk.com/id451195781" TargetMode="External"/><Relationship Id="rId6" Type="http://schemas.openxmlformats.org/officeDocument/2006/relationships/hyperlink" Target="https://vk.com/luka5s5" TargetMode="External"/><Relationship Id="rId7" Type="http://schemas.openxmlformats.org/officeDocument/2006/relationships/hyperlink" Target="https://m.vk.com/ann_1907" TargetMode="External"/><Relationship Id="rId8" Type="http://schemas.openxmlformats.org/officeDocument/2006/relationships/hyperlink" Target="https://vk.com/tixon2002" TargetMode="External"/><Relationship Id="rId9" Type="http://schemas.openxmlformats.org/officeDocument/2006/relationships/hyperlink" Target="http://vk.com/renata_eva" TargetMode="External"/><Relationship Id="rId10" Type="http://schemas.openxmlformats.org/officeDocument/2006/relationships/hyperlink" Target="https://vk.com/id247403526" TargetMode="External"/><Relationship Id="rId11" Type="http://schemas.openxmlformats.org/officeDocument/2006/relationships/hyperlink" Target="http://vk.com/milanakanygina" TargetMode="External"/><Relationship Id="rId12" Type="http://schemas.openxmlformats.org/officeDocument/2006/relationships/hyperlink" Target="http://vk.com/somnusss" TargetMode="External"/><Relationship Id="rId13" Type="http://schemas.openxmlformats.org/officeDocument/2006/relationships/hyperlink" Target="https://vk.com/kulichenko2" TargetMode="External"/><Relationship Id="rId14" Type="http://schemas.openxmlformats.org/officeDocument/2006/relationships/hyperlink" Target="http://vk.com/id209670944" TargetMode="External"/><Relationship Id="rId15" Type="http://schemas.openxmlformats.org/officeDocument/2006/relationships/hyperlink" Target="https://vk.com/ktaranova3" TargetMode="External"/><Relationship Id="rId16" Type="http://schemas.openxmlformats.org/officeDocument/2006/relationships/hyperlink" Target="https://vk.com/a.kalinechenko" TargetMode="External"/><Relationship Id="rId17" Type="http://schemas.openxmlformats.org/officeDocument/2006/relationships/hyperlink" Target="https://vk.com/m.christmas27" TargetMode="External"/><Relationship Id="rId18" Type="http://schemas.openxmlformats.org/officeDocument/2006/relationships/hyperlink" Target="https://vk.com/shdrkn" TargetMode="External"/><Relationship Id="rId19" Type="http://schemas.openxmlformats.org/officeDocument/2006/relationships/hyperlink" Target="https://vk.com/shdrkn" TargetMode="External"/><Relationship Id="rId20" Type="http://schemas.openxmlformats.org/officeDocument/2006/relationships/hyperlink" Target="https://vk.com/flekser_from_sirius" TargetMode="External"/><Relationship Id="rId21" Type="http://schemas.openxmlformats.org/officeDocument/2006/relationships/hyperlink" Target="https://vk.com/id467293207" TargetMode="External"/><Relationship Id="rId22" Type="http://schemas.openxmlformats.org/officeDocument/2006/relationships/hyperlink" Target="https://vk.com/p.nedoboyko" TargetMode="External"/><Relationship Id="rId23" Type="http://schemas.openxmlformats.org/officeDocument/2006/relationships/hyperlink" Target="https://vk.com/sofya_barneva" TargetMode="External"/><Relationship Id="rId24" Type="http://schemas.openxmlformats.org/officeDocument/2006/relationships/hyperlink" Target="https://vk.com/id452262359" TargetMode="External"/><Relationship Id="rId25" Type="http://schemas.openxmlformats.org/officeDocument/2006/relationships/hyperlink" Target="https://vk.com/id390700568" TargetMode="External"/><Relationship Id="rId26" Type="http://schemas.openxmlformats.org/officeDocument/2006/relationships/hyperlink" Target="https://vk.com/mane4kaw" TargetMode="External"/><Relationship Id="rId27" Type="http://schemas.openxmlformats.org/officeDocument/2006/relationships/hyperlink" Target="https://vk.com/id339456210" TargetMode="External"/><Relationship Id="rId28" Type="http://schemas.openxmlformats.org/officeDocument/2006/relationships/hyperlink" Target="https://vk.com/id254419335" TargetMode="External"/><Relationship Id="rId29" Type="http://schemas.openxmlformats.org/officeDocument/2006/relationships/hyperlink" Target="https://m.vk.com/polina_l16" TargetMode="External"/><Relationship Id="rId30" Type="http://schemas.openxmlformats.org/officeDocument/2006/relationships/hyperlink" Target="https://vk.com/id535081485" TargetMode="External"/><Relationship Id="rId31" Type="http://schemas.openxmlformats.org/officeDocument/2006/relationships/hyperlink" Target="http://vk.com/id254401565" TargetMode="External"/><Relationship Id="rId32" Type="http://schemas.openxmlformats.org/officeDocument/2006/relationships/hyperlink" Target="https://vk.com/vudovichenkov" TargetMode="External"/><Relationship Id="rId33" Type="http://schemas.openxmlformats.org/officeDocument/2006/relationships/hyperlink" Target="https://vk.com/squadrista" TargetMode="External"/><Relationship Id="rId34" Type="http://schemas.openxmlformats.org/officeDocument/2006/relationships/hyperlink" Target="https://vk.com/id269184131" TargetMode="External"/><Relationship Id="rId35" Type="http://schemas.openxmlformats.org/officeDocument/2006/relationships/hyperlink" Target="https://vk.com/id535081485" TargetMode="External"/><Relationship Id="rId36" Type="http://schemas.openxmlformats.org/officeDocument/2006/relationships/hyperlink" Target="https://vk.com/id539493679" TargetMode="External"/><Relationship Id="rId37" Type="http://schemas.openxmlformats.org/officeDocument/2006/relationships/hyperlink" Target="https://vk.com/aderkach2017" TargetMode="External"/><Relationship Id="rId38" Type="http://schemas.openxmlformats.org/officeDocument/2006/relationships/hyperlink" Target="https://vk.com/elimaksi" TargetMode="External"/><Relationship Id="rId39" Type="http://schemas.openxmlformats.org/officeDocument/2006/relationships/hyperlink" Target="https://vk.com/id250886985" TargetMode="External"/><Relationship Id="rId40" Type="http://schemas.openxmlformats.org/officeDocument/2006/relationships/hyperlink" Target="https://vk.com/id333898320" TargetMode="External"/><Relationship Id="rId41" Type="http://schemas.openxmlformats.org/officeDocument/2006/relationships/hyperlink" Target="https://vk.com/id341567849" TargetMode="External"/><Relationship Id="rId42" Type="http://schemas.openxmlformats.org/officeDocument/2006/relationships/hyperlink" Target="http://vk.com/karmaa_police" TargetMode="External"/><Relationship Id="rId43" Type="http://schemas.openxmlformats.org/officeDocument/2006/relationships/hyperlink" Target="https://vk.com/zzaitceva" TargetMode="External"/><Relationship Id="rId44" Type="http://schemas.openxmlformats.org/officeDocument/2006/relationships/hyperlink" Target="https://vk.com/id494021182" TargetMode="External"/><Relationship Id="rId45" Type="http://schemas.openxmlformats.org/officeDocument/2006/relationships/hyperlink" Target="http://vk.com/sestroslava" TargetMode="External"/><Relationship Id="rId46" Type="http://schemas.openxmlformats.org/officeDocument/2006/relationships/hyperlink" Target="https://vk.com/rem.joui" TargetMode="External"/><Relationship Id="rId47" Type="http://schemas.openxmlformats.org/officeDocument/2006/relationships/hyperlink" Target="https://vk.com/id238150808" TargetMode="External"/><Relationship Id="rId48" Type="http://schemas.openxmlformats.org/officeDocument/2006/relationships/hyperlink" Target="https://vk.com/shdoo" TargetMode="External"/><Relationship Id="rId49" Type="http://schemas.openxmlformats.org/officeDocument/2006/relationships/hyperlink" Target="https://m.vk.com/sergey.prokhorov2000" TargetMode="External"/><Relationship Id="rId50" Type="http://schemas.openxmlformats.org/officeDocument/2006/relationships/hyperlink" Target="https://vk.com/id318731608" TargetMode="External"/><Relationship Id="rId51" Type="http://schemas.openxmlformats.org/officeDocument/2006/relationships/hyperlink" Target="https://vk.com/id435651592" TargetMode="External"/><Relationship Id="rId52" Type="http://schemas.openxmlformats.org/officeDocument/2006/relationships/hyperlink" Target="https://vk.com/sillicium" TargetMode="External"/><Relationship Id="rId53" Type="http://schemas.openxmlformats.org/officeDocument/2006/relationships/hyperlink" Target="http://vk.com/yoneeth" TargetMode="External"/><Relationship Id="rId54" Type="http://schemas.openxmlformats.org/officeDocument/2006/relationships/hyperlink" Target="https://vk.com/ira_getalova" TargetMode="External"/><Relationship Id="rId55" Type="http://schemas.openxmlformats.org/officeDocument/2006/relationships/hyperlink" Target="http://vk.com/gooddayana" TargetMode="External"/><Relationship Id="rId56" Type="http://schemas.openxmlformats.org/officeDocument/2006/relationships/hyperlink" Target="http://vk.com/ilya_kuzin" TargetMode="External"/><Relationship Id="rId57" Type="http://schemas.openxmlformats.org/officeDocument/2006/relationships/hyperlink" Target="http://vk.com/mihagg01" TargetMode="External"/><Relationship Id="rId58" Type="http://schemas.openxmlformats.org/officeDocument/2006/relationships/hyperlink" Target="https://vk.com/jewomskiy" TargetMode="External"/><Relationship Id="rId59" Type="http://schemas.openxmlformats.org/officeDocument/2006/relationships/hyperlink" Target="https://vk.com/id308817000" TargetMode="External"/><Relationship Id="rId60" Type="http://schemas.openxmlformats.org/officeDocument/2006/relationships/hyperlink" Target="https://vk.com/id217815318" TargetMode="External"/><Relationship Id="rId61" Type="http://schemas.openxmlformats.org/officeDocument/2006/relationships/hyperlink" Target="https://vk.com/timfencing" TargetMode="External"/><Relationship Id="rId62" Type="http://schemas.openxmlformats.org/officeDocument/2006/relationships/hyperlink" Target="https://vk.com/mi.morgun.ivan" TargetMode="External"/><Relationship Id="rId63" Type="http://schemas.openxmlformats.org/officeDocument/2006/relationships/hyperlink" Target="https://m.vk.com/sumleninova" TargetMode="External"/><Relationship Id="rId64" Type="http://schemas.openxmlformats.org/officeDocument/2006/relationships/hyperlink" Target="https://vk.com/irassion" TargetMode="External"/><Relationship Id="rId65" Type="http://schemas.openxmlformats.org/officeDocument/2006/relationships/hyperlink" Target="https://vk.com/aselnurkusheva" TargetMode="External"/><Relationship Id="rId66" Type="http://schemas.openxmlformats.org/officeDocument/2006/relationships/hyperlink" Target="https://vk.com/id189048907" TargetMode="External"/><Relationship Id="rId67" Type="http://schemas.openxmlformats.org/officeDocument/2006/relationships/hyperlink" Target="https://m.vk.com/sweet1peach" TargetMode="External"/><Relationship Id="rId68" Type="http://schemas.openxmlformats.org/officeDocument/2006/relationships/hyperlink" Target="https://vk.com/gulintvagen" TargetMode="External"/><Relationship Id="rId69" Type="http://schemas.openxmlformats.org/officeDocument/2006/relationships/hyperlink" Target="https://vk.com/andreyzerniuk30" TargetMode="External"/><Relationship Id="rId70" Type="http://schemas.openxmlformats.org/officeDocument/2006/relationships/hyperlink" Target="https://vk.com/nsidorov2001" TargetMode="External"/><Relationship Id="rId71" Type="http://schemas.openxmlformats.org/officeDocument/2006/relationships/hyperlink" Target="https://vk.com/inaeternum16" TargetMode="External"/><Relationship Id="rId72" Type="http://schemas.openxmlformats.org/officeDocument/2006/relationships/hyperlink" Target="https://vk.com/id397630639" TargetMode="External"/><Relationship Id="rId73" Type="http://schemas.openxmlformats.org/officeDocument/2006/relationships/hyperlink" Target="http://vk.com/belimcatherine" TargetMode="External"/><Relationship Id="rId74" Type="http://schemas.openxmlformats.org/officeDocument/2006/relationships/hyperlink" Target="http://vk.com/id245076479" TargetMode="External"/><Relationship Id="rId75" Type="http://schemas.openxmlformats.org/officeDocument/2006/relationships/hyperlink" Target="http://vk.com/serobabinaa" TargetMode="External"/><Relationship Id="rId76" Type="http://schemas.openxmlformats.org/officeDocument/2006/relationships/hyperlink" Target="https://vk.com/eliaskvint" TargetMode="External"/><Relationship Id="rId77" Type="http://schemas.openxmlformats.org/officeDocument/2006/relationships/hyperlink" Target="https://vk.com/versus_house" TargetMode="External"/><Relationship Id="rId78" Type="http://schemas.openxmlformats.org/officeDocument/2006/relationships/hyperlink" Target="https://vk.com/unssonn" TargetMode="External"/><Relationship Id="rId79" Type="http://schemas.openxmlformats.org/officeDocument/2006/relationships/hyperlink" Target="https://vk.com/unssonn" TargetMode="External"/><Relationship Id="rId80" Type="http://schemas.openxmlformats.org/officeDocument/2006/relationships/hyperlink" Target="https://vk.com/unssonn" TargetMode="External"/><Relationship Id="rId81" Type="http://schemas.openxmlformats.org/officeDocument/2006/relationships/hyperlink" Target="https://m.vk.com/unssonn" TargetMode="External"/><Relationship Id="rId82" Type="http://schemas.openxmlformats.org/officeDocument/2006/relationships/hyperlink" Target="https://vk.com/anastasiavol" TargetMode="External"/><Relationship Id="rId83" Type="http://schemas.openxmlformats.org/officeDocument/2006/relationships/hyperlink" Target="https://m.vk.com/id152267404" TargetMode="External"/><Relationship Id="rId84" Type="http://schemas.openxmlformats.org/officeDocument/2006/relationships/hyperlink" Target="https://m.vk.com/id152267404" TargetMode="External"/><Relationship Id="rId85" Type="http://schemas.openxmlformats.org/officeDocument/2006/relationships/hyperlink" Target="https://vk.com/anna_dolgova2004" TargetMode="External"/><Relationship Id="rId86" Type="http://schemas.openxmlformats.org/officeDocument/2006/relationships/hyperlink" Target="https://vk.com/electrik08" TargetMode="External"/><Relationship Id="rId87" Type="http://schemas.openxmlformats.org/officeDocument/2006/relationships/hyperlink" Target="http://vk.com/myfakk" TargetMode="External"/><Relationship Id="rId88" Type="http://schemas.openxmlformats.org/officeDocument/2006/relationships/hyperlink" Target="http://vk.com/denisshapoval" TargetMode="External"/><Relationship Id="rId89" Type="http://schemas.openxmlformats.org/officeDocument/2006/relationships/hyperlink" Target="https://vk.com/polinko_malinko" TargetMode="External"/><Relationship Id="rId90" Type="http://schemas.openxmlformats.org/officeDocument/2006/relationships/hyperlink" Target="https://vk.com/id138745585" TargetMode="External"/><Relationship Id="rId91" Type="http://schemas.openxmlformats.org/officeDocument/2006/relationships/hyperlink" Target="https://vk.com/id249818753" TargetMode="External"/><Relationship Id="rId92" Type="http://schemas.openxmlformats.org/officeDocument/2006/relationships/hyperlink" Target="http://vk.com/sasashasas" TargetMode="External"/><Relationship Id="rId93" Type="http://schemas.openxmlformats.org/officeDocument/2006/relationships/hyperlink" Target="http://vk.com/muravyeva2012" TargetMode="External"/><Relationship Id="rId94" Type="http://schemas.openxmlformats.org/officeDocument/2006/relationships/hyperlink" Target="https://m.vk.com/liub04ka" TargetMode="External"/><Relationship Id="rId95" Type="http://schemas.openxmlformats.org/officeDocument/2006/relationships/hyperlink" Target="http://vk.com/shlykova_valeriya" TargetMode="External"/><Relationship Id="rId96" Type="http://schemas.openxmlformats.org/officeDocument/2006/relationships/hyperlink" Target="https://vk.com/id276675815" TargetMode="External"/><Relationship Id="rId97" Type="http://schemas.openxmlformats.org/officeDocument/2006/relationships/hyperlink" Target="https://vk.com/id239500086" TargetMode="External"/><Relationship Id="rId98" Type="http://schemas.openxmlformats.org/officeDocument/2006/relationships/hyperlink" Target="https://vk.com/id308485017" TargetMode="External"/><Relationship Id="rId99" Type="http://schemas.openxmlformats.org/officeDocument/2006/relationships/hyperlink" Target="http://vk.com/ijustwannahearyouscreamagain" TargetMode="External"/><Relationship Id="rId100" Type="http://schemas.openxmlformats.org/officeDocument/2006/relationships/hyperlink" Target="https://vk.com/id195904823" TargetMode="External"/><Relationship Id="rId101" Type="http://schemas.openxmlformats.org/officeDocument/2006/relationships/hyperlink" Target="https://vk.com/qwartal13" TargetMode="External"/><Relationship Id="rId102" Type="http://schemas.openxmlformats.org/officeDocument/2006/relationships/hyperlink" Target="https://vk.com/bpyanzin" TargetMode="External"/><Relationship Id="rId103" Type="http://schemas.openxmlformats.org/officeDocument/2006/relationships/hyperlink" Target="https://vk.com/bpyanzin" TargetMode="External"/><Relationship Id="rId104" Type="http://schemas.openxmlformats.org/officeDocument/2006/relationships/hyperlink" Target="https://vk.com/id418432876" TargetMode="External"/><Relationship Id="rId105" Type="http://schemas.openxmlformats.org/officeDocument/2006/relationships/hyperlink" Target="https://vk.com/crazyjokerequallynewcrazy" TargetMode="External"/><Relationship Id="rId106" Type="http://schemas.openxmlformats.org/officeDocument/2006/relationships/hyperlink" Target="http://vk.com/byheart_chaika" TargetMode="External"/><Relationship Id="rId107" Type="http://schemas.openxmlformats.org/officeDocument/2006/relationships/hyperlink" Target="https://vk.com/katelinker" TargetMode="External"/><Relationship Id="rId108" Type="http://schemas.openxmlformats.org/officeDocument/2006/relationships/hyperlink" Target="http://vk.com/imagineonfire" TargetMode="External"/><Relationship Id="rId109" Type="http://schemas.openxmlformats.org/officeDocument/2006/relationships/hyperlink" Target="http://vk.com/musical_mary" TargetMode="External"/><Relationship Id="rId110" Type="http://schemas.openxmlformats.org/officeDocument/2006/relationships/hyperlink" Target="https://vk.com/volvo2005" TargetMode="External"/><Relationship Id="rId111" Type="http://schemas.openxmlformats.org/officeDocument/2006/relationships/hyperlink" Target="https://vk.com/polinko_malinko" TargetMode="External"/><Relationship Id="rId112" Type="http://schemas.openxmlformats.org/officeDocument/2006/relationships/hyperlink" Target="https://vk.com/id479109984" TargetMode="External"/><Relationship Id="rId113" Type="http://schemas.openxmlformats.org/officeDocument/2006/relationships/hyperlink" Target="http://vk.com/vlas.vanya" TargetMode="External"/><Relationship Id="rId114" Type="http://schemas.openxmlformats.org/officeDocument/2006/relationships/hyperlink" Target="https://vk.com/id185708014" TargetMode="External"/><Relationship Id="rId115" Type="http://schemas.openxmlformats.org/officeDocument/2006/relationships/hyperlink" Target="http://vk.com/anasta_pro" TargetMode="External"/><Relationship Id="rId116" Type="http://schemas.openxmlformats.org/officeDocument/2006/relationships/hyperlink" Target="http://vk.com/goldnil" TargetMode="External"/><Relationship Id="rId117" Type="http://schemas.openxmlformats.org/officeDocument/2006/relationships/hyperlink" Target="https://vk.com/id188855311" TargetMode="External"/><Relationship Id="rId118" Type="http://schemas.openxmlformats.org/officeDocument/2006/relationships/hyperlink" Target="https://vk.com/id300520380" TargetMode="External"/><Relationship Id="rId119" Type="http://schemas.openxmlformats.org/officeDocument/2006/relationships/hyperlink" Target="https://vk.com/id300520380" TargetMode="External"/><Relationship Id="rId120" Type="http://schemas.openxmlformats.org/officeDocument/2006/relationships/hyperlink" Target="http://vk.com/id469538160" TargetMode="External"/><Relationship Id="rId121" Type="http://schemas.openxmlformats.org/officeDocument/2006/relationships/hyperlink" Target="https://vk.com/likeman177" TargetMode="External"/><Relationship Id="rId122" Type="http://schemas.openxmlformats.org/officeDocument/2006/relationships/hyperlink" Target="https://vk.com/love2006alena8" TargetMode="External"/><Relationship Id="rId123" Type="http://schemas.openxmlformats.org/officeDocument/2006/relationships/hyperlink" Target="https://vk.com/love2006alena8" TargetMode="External"/><Relationship Id="rId124" Type="http://schemas.openxmlformats.org/officeDocument/2006/relationships/hyperlink" Target="https://vk.com/id473918755" TargetMode="External"/><Relationship Id="rId125" Type="http://schemas.openxmlformats.org/officeDocument/2006/relationships/hyperlink" Target="http://vk.com/mrov29" TargetMode="External"/><Relationship Id="rId126" Type="http://schemas.openxmlformats.org/officeDocument/2006/relationships/hyperlink" Target="http://vk.com/vladimir.petrov2016" TargetMode="External"/><Relationship Id="rId127" Type="http://schemas.openxmlformats.org/officeDocument/2006/relationships/hyperlink" Target="http://vk.com/totallynothelix" TargetMode="External"/><Relationship Id="rId128" Type="http://schemas.openxmlformats.org/officeDocument/2006/relationships/hyperlink" Target="https://vk.com/mrlsan" TargetMode="External"/><Relationship Id="rId129" Type="http://schemas.openxmlformats.org/officeDocument/2006/relationships/hyperlink" Target="https://vk.com/dashs2016" TargetMode="External"/><Relationship Id="rId130" Type="http://schemas.openxmlformats.org/officeDocument/2006/relationships/hyperlink" Target="http://vk.com/id383760243" TargetMode="External"/><Relationship Id="rId131" Type="http://schemas.openxmlformats.org/officeDocument/2006/relationships/hyperlink" Target="https://vk.com/id248147614" TargetMode="External"/><Relationship Id="rId132" Type="http://schemas.openxmlformats.org/officeDocument/2006/relationships/hyperlink" Target="http://vk.com/ramina_mm" TargetMode="External"/><Relationship Id="rId133" Type="http://schemas.openxmlformats.org/officeDocument/2006/relationships/hyperlink" Target="http://vk.com/ramina_mm" TargetMode="External"/><Relationship Id="rId134" Type="http://schemas.openxmlformats.org/officeDocument/2006/relationships/hyperlink" Target="https://vk.com/id526408411" TargetMode="External"/><Relationship Id="rId135" Type="http://schemas.openxmlformats.org/officeDocument/2006/relationships/hyperlink" Target="https://vk.com/id526408411" TargetMode="External"/><Relationship Id="rId136" Type="http://schemas.openxmlformats.org/officeDocument/2006/relationships/hyperlink" Target="https://vk.com/id262530619" TargetMode="External"/><Relationship Id="rId137" Type="http://schemas.openxmlformats.org/officeDocument/2006/relationships/hyperlink" Target="https://vk.com/nikola_serj" TargetMode="External"/><Relationship Id="rId138" Type="http://schemas.openxmlformats.org/officeDocument/2006/relationships/hyperlink" Target="http://vk.com/id227178442" TargetMode="External"/><Relationship Id="rId139" Type="http://schemas.openxmlformats.org/officeDocument/2006/relationships/hyperlink" Target="https://vk.com/y.kolyvanova1990" TargetMode="External"/><Relationship Id="rId140" Type="http://schemas.openxmlformats.org/officeDocument/2006/relationships/hyperlink" Target="https://vk.com/y.kolyvanova1990" TargetMode="External"/><Relationship Id="rId141" Type="http://schemas.openxmlformats.org/officeDocument/2006/relationships/hyperlink" Target="https://vk.com/shanny_angel" TargetMode="External"/><Relationship Id="rId142" Type="http://schemas.openxmlformats.org/officeDocument/2006/relationships/hyperlink" Target="https://m.vk.com/refresher1" TargetMode="External"/><Relationship Id="rId143" Type="http://schemas.openxmlformats.org/officeDocument/2006/relationships/hyperlink" Target="http://vk.com/misha_zhilin2003" TargetMode="External"/><Relationship Id="rId144" Type="http://schemas.openxmlformats.org/officeDocument/2006/relationships/hyperlink" Target="http://vk.com/sad_nina" TargetMode="External"/><Relationship Id="rId145" Type="http://schemas.openxmlformats.org/officeDocument/2006/relationships/hyperlink" Target="http://vk.com/ny1privet2elon3musk" TargetMode="External"/><Relationship Id="rId146" Type="http://schemas.openxmlformats.org/officeDocument/2006/relationships/hyperlink" Target="http://vk.com/katerrrrrina" TargetMode="External"/><Relationship Id="rId147" Type="http://schemas.openxmlformats.org/officeDocument/2006/relationships/hyperlink" Target="https://vk.com/id418977018" TargetMode="External"/><Relationship Id="rId148" Type="http://schemas.openxmlformats.org/officeDocument/2006/relationships/hyperlink" Target="https://vk.com/id418977018" TargetMode="External"/><Relationship Id="rId149" Type="http://schemas.openxmlformats.org/officeDocument/2006/relationships/hyperlink" Target="https://vk.com/id418977018" TargetMode="External"/><Relationship Id="rId150" Type="http://schemas.openxmlformats.org/officeDocument/2006/relationships/hyperlink" Target="https://vk.com/id341427594" TargetMode="External"/><Relationship Id="rId151" Type="http://schemas.openxmlformats.org/officeDocument/2006/relationships/hyperlink" Target="https://vk.com/id285364433" TargetMode="External"/><Relationship Id="rId152" Type="http://schemas.openxmlformats.org/officeDocument/2006/relationships/hyperlink" Target="https://vk.com/id436516056" TargetMode="External"/><Relationship Id="rId153" Type="http://schemas.openxmlformats.org/officeDocument/2006/relationships/hyperlink" Target="https://vk.com/baldezzhhhhh" TargetMode="External"/><Relationship Id="rId154" Type="http://schemas.openxmlformats.org/officeDocument/2006/relationships/hyperlink" Target="https://m.vk.com/volchara49" TargetMode="External"/><Relationship Id="rId155" Type="http://schemas.openxmlformats.org/officeDocument/2006/relationships/hyperlink" Target="https://vk.com/id285364433" TargetMode="External"/><Relationship Id="rId156" Type="http://schemas.openxmlformats.org/officeDocument/2006/relationships/hyperlink" Target="http://vk.com/id285364433" TargetMode="External"/><Relationship Id="rId157" Type="http://schemas.openxmlformats.org/officeDocument/2006/relationships/hyperlink" Target="https://vk.com/id281800589" TargetMode="External"/><Relationship Id="rId158" Type="http://schemas.openxmlformats.org/officeDocument/2006/relationships/hyperlink" Target="http://vk.com/ramina_mm" TargetMode="External"/><Relationship Id="rId159" Type="http://schemas.openxmlformats.org/officeDocument/2006/relationships/hyperlink" Target="https://vk.com/alexandrinioo" TargetMode="External"/><Relationship Id="rId160" Type="http://schemas.openxmlformats.org/officeDocument/2006/relationships/hyperlink" Target="http://vk.com/id175231174" TargetMode="External"/><Relationship Id="rId161" Type="http://schemas.openxmlformats.org/officeDocument/2006/relationships/hyperlink" Target="https://vk.com/id252385302" TargetMode="External"/><Relationship Id="rId162" Type="http://schemas.openxmlformats.org/officeDocument/2006/relationships/hyperlink" Target="https://vk.com/id190943067" TargetMode="External"/><Relationship Id="rId163" Type="http://schemas.openxmlformats.org/officeDocument/2006/relationships/hyperlink" Target="https://vk.com/id284438427" TargetMode="External"/><Relationship Id="rId164" Type="http://schemas.openxmlformats.org/officeDocument/2006/relationships/hyperlink" Target="http://vk.com/puteshestvennik2004" TargetMode="External"/><Relationship Id="rId165" Type="http://schemas.openxmlformats.org/officeDocument/2006/relationships/hyperlink" Target="http://vk.com/puteshestvennik2004" TargetMode="External"/><Relationship Id="rId166" Type="http://schemas.openxmlformats.org/officeDocument/2006/relationships/hyperlink" Target="http://vk.com/unrealpochvoved" TargetMode="External"/><Relationship Id="rId167" Type="http://schemas.openxmlformats.org/officeDocument/2006/relationships/hyperlink" Target="https://vk.com/klimova_ann" TargetMode="External"/><Relationship Id="rId168" Type="http://schemas.openxmlformats.org/officeDocument/2006/relationships/hyperlink" Target="https://vk.com/id248147614" TargetMode="External"/><Relationship Id="rId169" Type="http://schemas.openxmlformats.org/officeDocument/2006/relationships/hyperlink" Target="https://vk.com/id299162973" TargetMode="External"/><Relationship Id="rId170" Type="http://schemas.openxmlformats.org/officeDocument/2006/relationships/hyperlink" Target="https://vk.com/id258574005" TargetMode="External"/><Relationship Id="rId171" Type="http://schemas.openxmlformats.org/officeDocument/2006/relationships/hyperlink" Target="https://vk.com/id141442481" TargetMode="External"/><Relationship Id="rId172" Type="http://schemas.openxmlformats.org/officeDocument/2006/relationships/hyperlink" Target="http://vk.com/anasta_pro" TargetMode="External"/><Relationship Id="rId173" Type="http://schemas.openxmlformats.org/officeDocument/2006/relationships/hyperlink" Target="https://vk.com/id324261632" TargetMode="External"/><Relationship Id="rId174" Type="http://schemas.openxmlformats.org/officeDocument/2006/relationships/hyperlink" Target="http://vk.com/id463866987" TargetMode="External"/><Relationship Id="rId175" Type="http://schemas.openxmlformats.org/officeDocument/2006/relationships/hyperlink" Target="http://vk.com/grichkoedova" TargetMode="External"/><Relationship Id="rId176" Type="http://schemas.openxmlformats.org/officeDocument/2006/relationships/hyperlink" Target="https://vk.com/id542091942" TargetMode="External"/><Relationship Id="rId177" Type="http://schemas.openxmlformats.org/officeDocument/2006/relationships/hyperlink" Target="https://vk.com/guselki_yurovchati" TargetMode="External"/><Relationship Id="rId178" Type="http://schemas.openxmlformats.org/officeDocument/2006/relationships/hyperlink" Target="https://vk.com/denis007crack" TargetMode="External"/><Relationship Id="rId179" Type="http://schemas.openxmlformats.org/officeDocument/2006/relationships/hyperlink" Target="http://vk.com/id494493499" TargetMode="External"/><Relationship Id="rId180" Type="http://schemas.openxmlformats.org/officeDocument/2006/relationships/hyperlink" Target="http://vk.com/id496766710" TargetMode="External"/><Relationship Id="rId181" Type="http://schemas.openxmlformats.org/officeDocument/2006/relationships/hyperlink" Target="https://vk.com/id319452249" TargetMode="External"/><Relationship Id="rId182" Type="http://schemas.openxmlformats.org/officeDocument/2006/relationships/hyperlink" Target="http://vk.com/id330253179" TargetMode="External"/><Relationship Id="rId183" Type="http://schemas.openxmlformats.org/officeDocument/2006/relationships/hyperlink" Target="https://vk.com/semyonsychov" TargetMode="External"/><Relationship Id="rId184" Type="http://schemas.openxmlformats.org/officeDocument/2006/relationships/hyperlink" Target="https://vk.com/svandrith" TargetMode="External"/><Relationship Id="rId185" Type="http://schemas.openxmlformats.org/officeDocument/2006/relationships/hyperlink" Target="https://vk.com/id335232813" TargetMode="External"/><Relationship Id="rId186" Type="http://schemas.openxmlformats.org/officeDocument/2006/relationships/hyperlink" Target="https://vk.com/lovememes3" TargetMode="External"/><Relationship Id="rId18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vk.com/milanakanygina" TargetMode="External"/><Relationship Id="rId2" Type="http://schemas.openxmlformats.org/officeDocument/2006/relationships/hyperlink" Target="http://vk.com/ktaranova3" TargetMode="External"/><Relationship Id="rId3" Type="http://schemas.openxmlformats.org/officeDocument/2006/relationships/hyperlink" Target="http://vk.com/p.nedoboyko" TargetMode="External"/><Relationship Id="rId4" Type="http://schemas.openxmlformats.org/officeDocument/2006/relationships/hyperlink" Target="http://vk.com/id452262359" TargetMode="External"/><Relationship Id="rId5" Type="http://schemas.openxmlformats.org/officeDocument/2006/relationships/hyperlink" Target="http://vk.com/id390700568" TargetMode="External"/><Relationship Id="rId6" Type="http://schemas.openxmlformats.org/officeDocument/2006/relationships/hyperlink" Target="http://vk.com/id254401565" TargetMode="External"/><Relationship Id="rId7" Type="http://schemas.openxmlformats.org/officeDocument/2006/relationships/hyperlink" Target="http://vk.com/vudovichenkov" TargetMode="External"/><Relationship Id="rId8" Type="http://schemas.openxmlformats.org/officeDocument/2006/relationships/hyperlink" Target="http://vk.com/elimaksi" TargetMode="External"/><Relationship Id="rId9" Type="http://schemas.openxmlformats.org/officeDocument/2006/relationships/hyperlink" Target="http://vk.com/id333898320" TargetMode="External"/><Relationship Id="rId10" Type="http://schemas.openxmlformats.org/officeDocument/2006/relationships/hyperlink" Target="http://vk.com/rem.joui" TargetMode="External"/><Relationship Id="rId11" Type="http://schemas.openxmlformats.org/officeDocument/2006/relationships/hyperlink" Target="http://vk.com/id238150808" TargetMode="External"/><Relationship Id="rId12" Type="http://schemas.openxmlformats.org/officeDocument/2006/relationships/hyperlink" Target="http://vk.com/id318731608" TargetMode="External"/><Relationship Id="rId13" Type="http://schemas.openxmlformats.org/officeDocument/2006/relationships/hyperlink" Target="http://vk.com/sillicium" TargetMode="External"/><Relationship Id="rId14" Type="http://schemas.openxmlformats.org/officeDocument/2006/relationships/hyperlink" Target="http://vk.com/ilya_kuzin" TargetMode="External"/><Relationship Id="rId15" Type="http://schemas.openxmlformats.org/officeDocument/2006/relationships/hyperlink" Target="http://vk.com/aselnurkusheva" TargetMode="External"/><Relationship Id="rId16" Type="http://schemas.openxmlformats.org/officeDocument/2006/relationships/hyperlink" Target="http://vk.com/sweet1peach" TargetMode="External"/><Relationship Id="rId17" Type="http://schemas.openxmlformats.org/officeDocument/2006/relationships/hyperlink" Target="http://vk.com/id397630639" TargetMode="External"/><Relationship Id="rId18" Type="http://schemas.openxmlformats.org/officeDocument/2006/relationships/hyperlink" Target="http://vk.com/shlykova_valeriy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G2" activeCellId="0" sqref="G2"/>
    </sheetView>
  </sheetViews>
  <sheetFormatPr defaultColWidth="14.4609375" defaultRowHeight="15.75" zeroHeight="false" outlineLevelRow="0" outlineLevelCol="0"/>
  <cols>
    <col collapsed="false" customWidth="true" hidden="false" outlineLevel="0" max="5" min="1" style="0" width="21.57"/>
    <col collapsed="false" customWidth="true" hidden="false" outlineLevel="0" max="6" min="6" style="0" width="24.57"/>
    <col collapsed="false" customWidth="true" hidden="false" outlineLevel="0" max="9" min="7" style="0" width="21.57"/>
    <col collapsed="false" customWidth="true" hidden="false" outlineLevel="0" max="10" min="10" style="0" width="27.99"/>
    <col collapsed="false" customWidth="true" hidden="false" outlineLevel="0" max="18" min="11" style="0" width="21.5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75" hidden="false" customHeight="false" outlineLevel="0" collapsed="false">
      <c r="A2" s="2" t="n">
        <v>43596.1672375926</v>
      </c>
      <c r="B2" s="1" t="s">
        <v>12</v>
      </c>
      <c r="C2" s="1" t="s">
        <v>13</v>
      </c>
      <c r="D2" s="1" t="n">
        <v>11</v>
      </c>
      <c r="E2" s="1" t="s">
        <v>14</v>
      </c>
      <c r="G2" s="3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customFormat="false" ht="15.75" hidden="false" customHeight="false" outlineLevel="0" collapsed="false">
      <c r="A3" s="2" t="n">
        <v>43596.1703740625</v>
      </c>
      <c r="B3" s="1" t="s">
        <v>21</v>
      </c>
      <c r="C3" s="1" t="s">
        <v>22</v>
      </c>
      <c r="D3" s="1" t="n">
        <v>7</v>
      </c>
      <c r="E3" s="1" t="n">
        <v>117</v>
      </c>
      <c r="G3" s="3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</row>
    <row r="4" customFormat="false" ht="15.75" hidden="false" customHeight="false" outlineLevel="0" collapsed="false">
      <c r="A4" s="2" t="n">
        <v>43596.1704529861</v>
      </c>
      <c r="B4" s="1" t="s">
        <v>29</v>
      </c>
      <c r="C4" s="1" t="s">
        <v>30</v>
      </c>
      <c r="D4" s="1" t="n">
        <v>7</v>
      </c>
      <c r="E4" s="1" t="s">
        <v>31</v>
      </c>
      <c r="G4" s="3" t="s">
        <v>32</v>
      </c>
      <c r="H4" s="1" t="s">
        <v>33</v>
      </c>
      <c r="I4" s="1" t="s">
        <v>25</v>
      </c>
      <c r="J4" s="1" t="s">
        <v>34</v>
      </c>
      <c r="K4" s="1" t="s">
        <v>35</v>
      </c>
      <c r="L4" s="1" t="s">
        <v>36</v>
      </c>
    </row>
    <row r="5" customFormat="false" ht="15.75" hidden="false" customHeight="false" outlineLevel="0" collapsed="false">
      <c r="A5" s="2" t="n">
        <v>43596.1710209028</v>
      </c>
      <c r="B5" s="1" t="s">
        <v>37</v>
      </c>
      <c r="C5" s="1" t="s">
        <v>38</v>
      </c>
      <c r="D5" s="1" t="n">
        <v>9</v>
      </c>
      <c r="E5" s="1" t="n">
        <v>117</v>
      </c>
      <c r="G5" s="1" t="s">
        <v>39</v>
      </c>
      <c r="H5" s="1" t="s">
        <v>40</v>
      </c>
      <c r="I5" s="1" t="s">
        <v>41</v>
      </c>
      <c r="J5" s="1" t="s">
        <v>34</v>
      </c>
      <c r="K5" s="1" t="s">
        <v>42</v>
      </c>
      <c r="L5" s="1" t="s">
        <v>43</v>
      </c>
    </row>
    <row r="6" customFormat="false" ht="15.75" hidden="false" customHeight="false" outlineLevel="0" collapsed="false">
      <c r="A6" s="2" t="n">
        <v>43596.1716202894</v>
      </c>
      <c r="B6" s="1" t="s">
        <v>21</v>
      </c>
      <c r="C6" s="1" t="s">
        <v>22</v>
      </c>
      <c r="D6" s="1" t="n">
        <v>7</v>
      </c>
      <c r="E6" s="1" t="n">
        <v>117</v>
      </c>
      <c r="G6" s="3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</row>
    <row r="7" customFormat="false" ht="15.75" hidden="false" customHeight="false" outlineLevel="0" collapsed="false">
      <c r="A7" s="2" t="n">
        <v>43596.1737283102</v>
      </c>
      <c r="B7" s="1" t="s">
        <v>44</v>
      </c>
      <c r="C7" s="1" t="s">
        <v>45</v>
      </c>
      <c r="D7" s="1" t="n">
        <v>10</v>
      </c>
      <c r="E7" s="1" t="n">
        <v>64</v>
      </c>
      <c r="G7" s="3" t="s">
        <v>46</v>
      </c>
      <c r="H7" s="1" t="s">
        <v>47</v>
      </c>
      <c r="I7" s="1" t="s">
        <v>17</v>
      </c>
      <c r="J7" s="1" t="s">
        <v>48</v>
      </c>
      <c r="K7" s="1" t="s">
        <v>49</v>
      </c>
      <c r="L7" s="1" t="s">
        <v>50</v>
      </c>
    </row>
    <row r="8" customFormat="false" ht="15.75" hidden="false" customHeight="false" outlineLevel="0" collapsed="false">
      <c r="A8" s="2" t="n">
        <v>43596.1738478009</v>
      </c>
      <c r="B8" s="1" t="s">
        <v>51</v>
      </c>
      <c r="C8" s="1" t="s">
        <v>52</v>
      </c>
      <c r="D8" s="1" t="n">
        <v>10</v>
      </c>
      <c r="E8" s="1" t="s">
        <v>53</v>
      </c>
      <c r="F8" s="1" t="s">
        <v>54</v>
      </c>
      <c r="G8" s="3" t="s">
        <v>55</v>
      </c>
      <c r="H8" s="1" t="s">
        <v>56</v>
      </c>
      <c r="I8" s="1" t="s">
        <v>20</v>
      </c>
      <c r="J8" s="1" t="s">
        <v>20</v>
      </c>
      <c r="K8" s="1" t="s">
        <v>57</v>
      </c>
      <c r="L8" s="1" t="s">
        <v>36</v>
      </c>
    </row>
    <row r="9" customFormat="false" ht="15.75" hidden="false" customHeight="false" outlineLevel="0" collapsed="false">
      <c r="A9" s="2" t="n">
        <v>43596.1741424769</v>
      </c>
      <c r="B9" s="1" t="s">
        <v>58</v>
      </c>
      <c r="C9" s="1" t="s">
        <v>59</v>
      </c>
      <c r="D9" s="1" t="n">
        <v>10</v>
      </c>
      <c r="E9" s="1" t="s">
        <v>60</v>
      </c>
      <c r="G9" s="3" t="s">
        <v>61</v>
      </c>
      <c r="H9" s="1" t="s">
        <v>62</v>
      </c>
      <c r="I9" s="1" t="s">
        <v>63</v>
      </c>
      <c r="J9" s="1" t="s">
        <v>64</v>
      </c>
      <c r="K9" s="1" t="s">
        <v>57</v>
      </c>
      <c r="L9" s="1" t="s">
        <v>28</v>
      </c>
    </row>
    <row r="10" customFormat="false" ht="15.75" hidden="false" customHeight="false" outlineLevel="0" collapsed="false">
      <c r="A10" s="2" t="n">
        <v>43596.1755085185</v>
      </c>
      <c r="B10" s="1" t="s">
        <v>65</v>
      </c>
      <c r="C10" s="1" t="s">
        <v>66</v>
      </c>
      <c r="D10" s="1" t="n">
        <v>10</v>
      </c>
      <c r="E10" s="1" t="s">
        <v>67</v>
      </c>
      <c r="G10" s="3" t="s">
        <v>68</v>
      </c>
      <c r="H10" s="1" t="s">
        <v>69</v>
      </c>
      <c r="I10" s="1" t="s">
        <v>25</v>
      </c>
      <c r="J10" s="1" t="s">
        <v>70</v>
      </c>
      <c r="K10" s="1" t="s">
        <v>49</v>
      </c>
      <c r="L10" s="1" t="s">
        <v>71</v>
      </c>
    </row>
    <row r="11" customFormat="false" ht="15.75" hidden="false" customHeight="false" outlineLevel="0" collapsed="false">
      <c r="A11" s="2" t="n">
        <v>43596.1755605787</v>
      </c>
      <c r="B11" s="1" t="s">
        <v>72</v>
      </c>
      <c r="C11" s="1" t="s">
        <v>52</v>
      </c>
      <c r="D11" s="1" t="n">
        <v>10</v>
      </c>
      <c r="E11" s="1" t="s">
        <v>73</v>
      </c>
      <c r="G11" s="3" t="s">
        <v>74</v>
      </c>
      <c r="H11" s="1" t="s">
        <v>75</v>
      </c>
      <c r="I11" s="1" t="s">
        <v>25</v>
      </c>
      <c r="J11" s="1" t="s">
        <v>70</v>
      </c>
      <c r="K11" s="1" t="s">
        <v>27</v>
      </c>
      <c r="L11" s="1" t="s">
        <v>28</v>
      </c>
    </row>
    <row r="12" customFormat="false" ht="15.75" hidden="false" customHeight="false" outlineLevel="0" collapsed="false">
      <c r="A12" s="2" t="n">
        <v>43596.1806835185</v>
      </c>
      <c r="B12" s="1" t="s">
        <v>76</v>
      </c>
      <c r="C12" s="1" t="s">
        <v>77</v>
      </c>
      <c r="D12" s="1" t="n">
        <v>11</v>
      </c>
      <c r="E12" s="1" t="s">
        <v>78</v>
      </c>
      <c r="F12" s="1" t="s">
        <v>79</v>
      </c>
      <c r="G12" s="3" t="s">
        <v>80</v>
      </c>
      <c r="H12" s="1" t="s">
        <v>81</v>
      </c>
      <c r="I12" s="1" t="s">
        <v>82</v>
      </c>
      <c r="J12" s="1" t="s">
        <v>70</v>
      </c>
      <c r="K12" s="1" t="s">
        <v>42</v>
      </c>
      <c r="L12" s="1" t="s">
        <v>43</v>
      </c>
    </row>
    <row r="13" customFormat="false" ht="15.75" hidden="false" customHeight="false" outlineLevel="0" collapsed="false">
      <c r="A13" s="2" t="n">
        <v>43596.1856780208</v>
      </c>
      <c r="B13" s="1" t="s">
        <v>83</v>
      </c>
      <c r="C13" s="1" t="s">
        <v>84</v>
      </c>
      <c r="D13" s="1" t="n">
        <v>10</v>
      </c>
      <c r="E13" s="1" t="s">
        <v>85</v>
      </c>
      <c r="G13" s="3" t="s">
        <v>86</v>
      </c>
      <c r="H13" s="1" t="s">
        <v>87</v>
      </c>
      <c r="I13" s="1" t="s">
        <v>17</v>
      </c>
      <c r="J13" s="1" t="s">
        <v>48</v>
      </c>
      <c r="K13" s="1" t="s">
        <v>49</v>
      </c>
      <c r="L13" s="1" t="s">
        <v>88</v>
      </c>
    </row>
    <row r="14" customFormat="false" ht="15.75" hidden="false" customHeight="false" outlineLevel="0" collapsed="false">
      <c r="A14" s="2" t="n">
        <v>43596.1922614005</v>
      </c>
      <c r="B14" s="1" t="s">
        <v>89</v>
      </c>
      <c r="C14" s="1" t="s">
        <v>90</v>
      </c>
      <c r="D14" s="1" t="n">
        <v>8</v>
      </c>
      <c r="E14" s="1" t="s">
        <v>91</v>
      </c>
      <c r="G14" s="1" t="s">
        <v>39</v>
      </c>
      <c r="H14" s="1" t="s">
        <v>92</v>
      </c>
      <c r="I14" s="1" t="s">
        <v>63</v>
      </c>
      <c r="J14" s="1" t="s">
        <v>26</v>
      </c>
      <c r="K14" s="1" t="s">
        <v>57</v>
      </c>
      <c r="L14" s="1" t="s">
        <v>28</v>
      </c>
    </row>
    <row r="15" customFormat="false" ht="15.75" hidden="false" customHeight="false" outlineLevel="0" collapsed="false">
      <c r="A15" s="2" t="n">
        <v>43596.1958165162</v>
      </c>
      <c r="B15" s="1" t="s">
        <v>93</v>
      </c>
      <c r="C15" s="1" t="s">
        <v>94</v>
      </c>
      <c r="D15" s="1" t="n">
        <v>8</v>
      </c>
      <c r="E15" s="1" t="s">
        <v>95</v>
      </c>
      <c r="G15" s="3" t="s">
        <v>96</v>
      </c>
      <c r="H15" s="1" t="s">
        <v>97</v>
      </c>
      <c r="I15" s="1" t="s">
        <v>25</v>
      </c>
      <c r="J15" s="1" t="s">
        <v>98</v>
      </c>
      <c r="K15" s="1" t="s">
        <v>57</v>
      </c>
      <c r="L15" s="1" t="s">
        <v>99</v>
      </c>
    </row>
    <row r="16" customFormat="false" ht="15.75" hidden="false" customHeight="false" outlineLevel="0" collapsed="false">
      <c r="A16" s="2" t="n">
        <v>43596.1981415857</v>
      </c>
      <c r="B16" s="1" t="s">
        <v>100</v>
      </c>
      <c r="C16" s="1" t="s">
        <v>101</v>
      </c>
      <c r="D16" s="1" t="n">
        <v>11</v>
      </c>
      <c r="E16" s="1" t="s">
        <v>102</v>
      </c>
      <c r="F16" s="1" t="s">
        <v>103</v>
      </c>
      <c r="G16" s="3" t="s">
        <v>104</v>
      </c>
      <c r="H16" s="1" t="s">
        <v>105</v>
      </c>
      <c r="I16" s="1" t="s">
        <v>41</v>
      </c>
      <c r="J16" s="1" t="s">
        <v>20</v>
      </c>
      <c r="K16" s="1" t="s">
        <v>20</v>
      </c>
      <c r="L16" s="1" t="s">
        <v>20</v>
      </c>
    </row>
    <row r="17" customFormat="false" ht="15.75" hidden="false" customHeight="false" outlineLevel="0" collapsed="false">
      <c r="A17" s="2" t="n">
        <v>43596.2008947569</v>
      </c>
      <c r="B17" s="1" t="s">
        <v>106</v>
      </c>
      <c r="C17" s="1" t="s">
        <v>107</v>
      </c>
      <c r="D17" s="1" t="n">
        <v>9</v>
      </c>
      <c r="E17" s="1" t="s">
        <v>108</v>
      </c>
      <c r="G17" s="3" t="s">
        <v>109</v>
      </c>
      <c r="H17" s="1" t="s">
        <v>110</v>
      </c>
      <c r="I17" s="1" t="s">
        <v>25</v>
      </c>
      <c r="J17" s="1" t="s">
        <v>98</v>
      </c>
      <c r="K17" s="1" t="s">
        <v>42</v>
      </c>
      <c r="L17" s="1" t="s">
        <v>99</v>
      </c>
    </row>
    <row r="18" customFormat="false" ht="15.75" hidden="false" customHeight="false" outlineLevel="0" collapsed="false">
      <c r="A18" s="2" t="n">
        <v>43596.2041239468</v>
      </c>
      <c r="B18" s="1" t="s">
        <v>111</v>
      </c>
      <c r="C18" s="1" t="s">
        <v>112</v>
      </c>
      <c r="D18" s="1" t="n">
        <v>10</v>
      </c>
      <c r="E18" s="1" t="n">
        <v>51</v>
      </c>
      <c r="G18" s="3" t="s">
        <v>113</v>
      </c>
      <c r="H18" s="1" t="s">
        <v>114</v>
      </c>
      <c r="I18" s="1" t="s">
        <v>41</v>
      </c>
      <c r="J18" s="1" t="s">
        <v>64</v>
      </c>
      <c r="K18" s="1" t="s">
        <v>115</v>
      </c>
      <c r="L18" s="1" t="s">
        <v>50</v>
      </c>
    </row>
    <row r="19" customFormat="false" ht="15.75" hidden="false" customHeight="false" outlineLevel="0" collapsed="false">
      <c r="A19" s="2" t="n">
        <v>43596.203817338</v>
      </c>
      <c r="B19" s="1" t="s">
        <v>116</v>
      </c>
      <c r="C19" s="1" t="s">
        <v>117</v>
      </c>
      <c r="D19" s="1" t="n">
        <v>10</v>
      </c>
      <c r="E19" s="1" t="n">
        <v>117</v>
      </c>
      <c r="G19" s="3" t="s">
        <v>118</v>
      </c>
      <c r="H19" s="1" t="s">
        <v>119</v>
      </c>
      <c r="I19" s="1" t="s">
        <v>17</v>
      </c>
      <c r="J19" s="1" t="s">
        <v>70</v>
      </c>
      <c r="K19" s="1" t="s">
        <v>27</v>
      </c>
      <c r="L19" s="1" t="s">
        <v>120</v>
      </c>
    </row>
    <row r="20" customFormat="false" ht="15.75" hidden="false" customHeight="false" outlineLevel="0" collapsed="false">
      <c r="A20" s="2" t="n">
        <v>43596.2054832292</v>
      </c>
      <c r="B20" s="1" t="s">
        <v>121</v>
      </c>
      <c r="C20" s="1" t="s">
        <v>122</v>
      </c>
      <c r="D20" s="1" t="n">
        <v>9</v>
      </c>
      <c r="E20" s="1" t="s">
        <v>123</v>
      </c>
      <c r="G20" s="3" t="s">
        <v>124</v>
      </c>
      <c r="H20" s="1" t="s">
        <v>125</v>
      </c>
      <c r="I20" s="1" t="s">
        <v>25</v>
      </c>
      <c r="J20" s="1" t="s">
        <v>98</v>
      </c>
      <c r="K20" s="1" t="s">
        <v>57</v>
      </c>
      <c r="L20" s="1" t="s">
        <v>36</v>
      </c>
    </row>
    <row r="21" customFormat="false" ht="15.75" hidden="false" customHeight="false" outlineLevel="0" collapsed="false">
      <c r="A21" s="2" t="n">
        <v>43596.205749919</v>
      </c>
      <c r="B21" s="1" t="s">
        <v>121</v>
      </c>
      <c r="C21" s="1" t="s">
        <v>122</v>
      </c>
      <c r="D21" s="1" t="n">
        <v>9</v>
      </c>
      <c r="E21" s="1" t="s">
        <v>123</v>
      </c>
      <c r="G21" s="3" t="s">
        <v>124</v>
      </c>
      <c r="H21" s="1" t="s">
        <v>125</v>
      </c>
      <c r="I21" s="1" t="s">
        <v>25</v>
      </c>
      <c r="J21" s="1" t="s">
        <v>98</v>
      </c>
      <c r="K21" s="1" t="s">
        <v>57</v>
      </c>
      <c r="L21" s="1" t="s">
        <v>36</v>
      </c>
    </row>
    <row r="22" customFormat="false" ht="15.75" hidden="false" customHeight="false" outlineLevel="0" collapsed="false">
      <c r="A22" s="2" t="n">
        <v>43596.2057651968</v>
      </c>
      <c r="B22" s="1" t="s">
        <v>126</v>
      </c>
      <c r="C22" s="1" t="s">
        <v>127</v>
      </c>
      <c r="D22" s="1" t="n">
        <v>10</v>
      </c>
      <c r="E22" s="1" t="n">
        <v>64</v>
      </c>
      <c r="G22" s="3" t="s">
        <v>128</v>
      </c>
      <c r="H22" s="1" t="s">
        <v>129</v>
      </c>
      <c r="I22" s="1" t="s">
        <v>17</v>
      </c>
      <c r="J22" s="1" t="s">
        <v>130</v>
      </c>
      <c r="K22" s="1" t="s">
        <v>49</v>
      </c>
      <c r="L22" s="1" t="s">
        <v>120</v>
      </c>
    </row>
    <row r="23" customFormat="false" ht="15.75" hidden="false" customHeight="false" outlineLevel="0" collapsed="false">
      <c r="A23" s="2" t="n">
        <v>43596.2126971644</v>
      </c>
      <c r="B23" s="1" t="s">
        <v>131</v>
      </c>
      <c r="C23" s="1" t="s">
        <v>132</v>
      </c>
      <c r="D23" s="1" t="n">
        <v>8</v>
      </c>
      <c r="E23" s="1" t="s">
        <v>133</v>
      </c>
      <c r="F23" s="1" t="s">
        <v>134</v>
      </c>
      <c r="G23" s="3" t="s">
        <v>135</v>
      </c>
      <c r="H23" s="1" t="s">
        <v>136</v>
      </c>
      <c r="I23" s="1" t="s">
        <v>25</v>
      </c>
      <c r="J23" s="1" t="s">
        <v>98</v>
      </c>
      <c r="K23" s="1" t="s">
        <v>57</v>
      </c>
      <c r="L23" s="1" t="s">
        <v>36</v>
      </c>
    </row>
    <row r="24" customFormat="false" ht="15.75" hidden="false" customHeight="false" outlineLevel="0" collapsed="false">
      <c r="A24" s="2" t="n">
        <v>43596.2186382407</v>
      </c>
      <c r="B24" s="1" t="s">
        <v>137</v>
      </c>
      <c r="C24" s="1" t="s">
        <v>138</v>
      </c>
      <c r="D24" s="1" t="n">
        <v>9</v>
      </c>
      <c r="E24" s="1" t="s">
        <v>95</v>
      </c>
      <c r="G24" s="3" t="s">
        <v>139</v>
      </c>
      <c r="H24" s="1" t="s">
        <v>140</v>
      </c>
      <c r="I24" s="1" t="s">
        <v>25</v>
      </c>
      <c r="J24" s="1" t="s">
        <v>98</v>
      </c>
      <c r="K24" s="1" t="s">
        <v>42</v>
      </c>
      <c r="L24" s="1" t="s">
        <v>36</v>
      </c>
    </row>
    <row r="25" customFormat="false" ht="15.75" hidden="false" customHeight="false" outlineLevel="0" collapsed="false">
      <c r="A25" s="2" t="n">
        <v>43596.2259928819</v>
      </c>
      <c r="B25" s="1" t="s">
        <v>141</v>
      </c>
      <c r="C25" s="1" t="s">
        <v>142</v>
      </c>
      <c r="D25" s="1" t="n">
        <v>9</v>
      </c>
      <c r="E25" s="1" t="s">
        <v>143</v>
      </c>
      <c r="G25" s="3" t="s">
        <v>144</v>
      </c>
      <c r="H25" s="1" t="s">
        <v>145</v>
      </c>
      <c r="I25" s="1" t="s">
        <v>146</v>
      </c>
      <c r="J25" s="1" t="s">
        <v>98</v>
      </c>
      <c r="K25" s="1" t="s">
        <v>19</v>
      </c>
      <c r="L25" s="1" t="s">
        <v>71</v>
      </c>
    </row>
    <row r="26" customFormat="false" ht="15.75" hidden="false" customHeight="false" outlineLevel="0" collapsed="false">
      <c r="A26" s="2" t="n">
        <v>43596.2352264236</v>
      </c>
      <c r="B26" s="1" t="s">
        <v>147</v>
      </c>
      <c r="C26" s="1" t="s">
        <v>148</v>
      </c>
      <c r="D26" s="1" t="n">
        <v>7</v>
      </c>
      <c r="E26" s="1" t="s">
        <v>149</v>
      </c>
      <c r="G26" s="3" t="s">
        <v>150</v>
      </c>
      <c r="H26" s="1" t="s">
        <v>151</v>
      </c>
      <c r="I26" s="1" t="s">
        <v>152</v>
      </c>
      <c r="J26" s="1" t="s">
        <v>34</v>
      </c>
      <c r="K26" s="1" t="s">
        <v>42</v>
      </c>
      <c r="L26" s="1" t="s">
        <v>28</v>
      </c>
    </row>
    <row r="27" customFormat="false" ht="15.75" hidden="false" customHeight="false" outlineLevel="0" collapsed="false">
      <c r="A27" s="2" t="n">
        <v>43596.2361986574</v>
      </c>
      <c r="B27" s="1" t="s">
        <v>153</v>
      </c>
      <c r="C27" s="1" t="s">
        <v>132</v>
      </c>
      <c r="D27" s="1" t="n">
        <v>7</v>
      </c>
      <c r="E27" s="1" t="s">
        <v>154</v>
      </c>
      <c r="G27" s="3" t="s">
        <v>155</v>
      </c>
      <c r="H27" s="1" t="s">
        <v>156</v>
      </c>
      <c r="I27" s="1" t="s">
        <v>152</v>
      </c>
      <c r="J27" s="1" t="s">
        <v>34</v>
      </c>
      <c r="K27" s="1" t="s">
        <v>42</v>
      </c>
      <c r="L27" s="1" t="s">
        <v>28</v>
      </c>
    </row>
    <row r="28" customFormat="false" ht="15.75" hidden="false" customHeight="false" outlineLevel="0" collapsed="false">
      <c r="A28" s="2" t="n">
        <v>43596.2371981019</v>
      </c>
      <c r="B28" s="1" t="s">
        <v>157</v>
      </c>
      <c r="C28" s="1" t="s">
        <v>158</v>
      </c>
      <c r="D28" s="1" t="n">
        <v>10</v>
      </c>
      <c r="E28" s="1" t="s">
        <v>159</v>
      </c>
      <c r="F28" s="1" t="s">
        <v>160</v>
      </c>
      <c r="G28" s="3" t="s">
        <v>161</v>
      </c>
      <c r="H28" s="1" t="s">
        <v>162</v>
      </c>
      <c r="I28" s="1" t="s">
        <v>25</v>
      </c>
      <c r="J28" s="1" t="s">
        <v>98</v>
      </c>
      <c r="K28" s="1" t="s">
        <v>27</v>
      </c>
      <c r="L28" s="1" t="s">
        <v>36</v>
      </c>
    </row>
    <row r="29" customFormat="false" ht="15.75" hidden="false" customHeight="false" outlineLevel="0" collapsed="false">
      <c r="A29" s="2" t="n">
        <v>43596.2610309491</v>
      </c>
      <c r="B29" s="1" t="s">
        <v>29</v>
      </c>
      <c r="C29" s="1" t="s">
        <v>30</v>
      </c>
      <c r="D29" s="1" t="n">
        <v>7</v>
      </c>
      <c r="E29" s="1" t="s">
        <v>31</v>
      </c>
      <c r="G29" s="3" t="s">
        <v>32</v>
      </c>
      <c r="H29" s="1" t="s">
        <v>163</v>
      </c>
      <c r="I29" s="1" t="s">
        <v>25</v>
      </c>
      <c r="J29" s="1" t="s">
        <v>34</v>
      </c>
      <c r="K29" s="1" t="s">
        <v>35</v>
      </c>
      <c r="L29" s="1" t="s">
        <v>36</v>
      </c>
    </row>
    <row r="30" customFormat="false" ht="15.75" hidden="false" customHeight="false" outlineLevel="0" collapsed="false">
      <c r="A30" s="2" t="n">
        <v>43596.4351165046</v>
      </c>
      <c r="B30" s="1" t="s">
        <v>164</v>
      </c>
      <c r="C30" s="1" t="s">
        <v>38</v>
      </c>
      <c r="D30" s="1" t="n">
        <v>9</v>
      </c>
      <c r="E30" s="1" t="s">
        <v>165</v>
      </c>
      <c r="G30" s="3" t="s">
        <v>166</v>
      </c>
      <c r="H30" s="1" t="s">
        <v>167</v>
      </c>
      <c r="I30" s="1" t="s">
        <v>25</v>
      </c>
      <c r="J30" s="1" t="s">
        <v>26</v>
      </c>
      <c r="K30" s="1" t="s">
        <v>27</v>
      </c>
      <c r="L30" s="1" t="s">
        <v>36</v>
      </c>
    </row>
    <row r="31" customFormat="false" ht="15.75" hidden="false" customHeight="false" outlineLevel="0" collapsed="false">
      <c r="A31" s="2" t="n">
        <v>43596.278116412</v>
      </c>
      <c r="B31" s="1" t="s">
        <v>168</v>
      </c>
      <c r="C31" s="1" t="s">
        <v>138</v>
      </c>
      <c r="D31" s="1" t="n">
        <v>10</v>
      </c>
      <c r="E31" s="1" t="s">
        <v>169</v>
      </c>
      <c r="F31" s="1" t="s">
        <v>170</v>
      </c>
      <c r="G31" s="3" t="s">
        <v>171</v>
      </c>
      <c r="H31" s="1" t="s">
        <v>172</v>
      </c>
      <c r="I31" s="1" t="s">
        <v>25</v>
      </c>
      <c r="J31" s="1" t="s">
        <v>26</v>
      </c>
      <c r="K31" s="1" t="s">
        <v>20</v>
      </c>
      <c r="L31" s="1" t="s">
        <v>20</v>
      </c>
    </row>
    <row r="32" customFormat="false" ht="15.75" hidden="false" customHeight="false" outlineLevel="0" collapsed="false">
      <c r="A32" s="2" t="n">
        <v>43596.3223352778</v>
      </c>
      <c r="B32" s="1" t="s">
        <v>173</v>
      </c>
      <c r="C32" s="1" t="s">
        <v>112</v>
      </c>
      <c r="D32" s="1" t="n">
        <v>9</v>
      </c>
      <c r="E32" s="1" t="n">
        <v>149</v>
      </c>
      <c r="F32" s="1" t="s">
        <v>174</v>
      </c>
      <c r="G32" s="3" t="s">
        <v>175</v>
      </c>
      <c r="H32" s="1" t="s">
        <v>176</v>
      </c>
      <c r="I32" s="1" t="s">
        <v>146</v>
      </c>
      <c r="J32" s="1" t="s">
        <v>130</v>
      </c>
      <c r="K32" s="1" t="s">
        <v>115</v>
      </c>
      <c r="L32" s="1" t="s">
        <v>43</v>
      </c>
    </row>
    <row r="33" customFormat="false" ht="15.75" hidden="false" customHeight="false" outlineLevel="0" collapsed="false">
      <c r="A33" s="2" t="n">
        <v>43596.3259310301</v>
      </c>
      <c r="B33" s="1" t="s">
        <v>177</v>
      </c>
      <c r="C33" s="1" t="s">
        <v>178</v>
      </c>
      <c r="D33" s="1" t="n">
        <v>9</v>
      </c>
      <c r="E33" s="1" t="s">
        <v>179</v>
      </c>
      <c r="G33" s="3" t="s">
        <v>180</v>
      </c>
      <c r="H33" s="1" t="s">
        <v>181</v>
      </c>
      <c r="I33" s="1" t="s">
        <v>82</v>
      </c>
      <c r="J33" s="1" t="s">
        <v>34</v>
      </c>
      <c r="K33" s="1" t="s">
        <v>42</v>
      </c>
      <c r="L33" s="1" t="s">
        <v>36</v>
      </c>
    </row>
    <row r="34" customFormat="false" ht="15.75" hidden="false" customHeight="false" outlineLevel="0" collapsed="false">
      <c r="A34" s="2" t="n">
        <v>43596.3269960417</v>
      </c>
      <c r="B34" s="1" t="s">
        <v>182</v>
      </c>
      <c r="C34" s="1" t="s">
        <v>22</v>
      </c>
      <c r="D34" s="1" t="n">
        <v>8</v>
      </c>
      <c r="E34" s="1" t="s">
        <v>183</v>
      </c>
      <c r="G34" s="3" t="s">
        <v>184</v>
      </c>
      <c r="H34" s="1" t="s">
        <v>185</v>
      </c>
      <c r="I34" s="1" t="s">
        <v>25</v>
      </c>
      <c r="J34" s="1" t="s">
        <v>98</v>
      </c>
      <c r="K34" s="1" t="s">
        <v>42</v>
      </c>
      <c r="L34" s="1" t="s">
        <v>99</v>
      </c>
    </row>
    <row r="35" customFormat="false" ht="15.75" hidden="false" customHeight="false" outlineLevel="0" collapsed="false">
      <c r="A35" s="2" t="n">
        <v>43596.3277579861</v>
      </c>
      <c r="B35" s="1" t="s">
        <v>186</v>
      </c>
      <c r="C35" s="1" t="s">
        <v>187</v>
      </c>
      <c r="D35" s="1" t="n">
        <v>9</v>
      </c>
      <c r="E35" s="1" t="s">
        <v>188</v>
      </c>
      <c r="F35" s="1" t="s">
        <v>189</v>
      </c>
      <c r="G35" s="3" t="s">
        <v>190</v>
      </c>
      <c r="H35" s="1" t="s">
        <v>191</v>
      </c>
      <c r="I35" s="1" t="s">
        <v>82</v>
      </c>
      <c r="J35" s="1" t="s">
        <v>26</v>
      </c>
      <c r="K35" s="1" t="s">
        <v>57</v>
      </c>
      <c r="L35" s="1" t="s">
        <v>120</v>
      </c>
    </row>
    <row r="36" customFormat="false" ht="15.75" hidden="false" customHeight="false" outlineLevel="0" collapsed="false">
      <c r="A36" s="2" t="n">
        <v>43596.3443009144</v>
      </c>
      <c r="B36" s="1" t="s">
        <v>192</v>
      </c>
      <c r="C36" s="1" t="s">
        <v>193</v>
      </c>
      <c r="D36" s="1" t="n">
        <v>8</v>
      </c>
      <c r="E36" s="1" t="s">
        <v>194</v>
      </c>
      <c r="F36" s="1" t="s">
        <v>195</v>
      </c>
      <c r="G36" s="3" t="s">
        <v>196</v>
      </c>
      <c r="H36" s="1" t="s">
        <v>197</v>
      </c>
      <c r="I36" s="1" t="s">
        <v>20</v>
      </c>
      <c r="J36" s="1" t="s">
        <v>20</v>
      </c>
      <c r="K36" s="1" t="s">
        <v>57</v>
      </c>
      <c r="L36" s="1" t="s">
        <v>120</v>
      </c>
    </row>
    <row r="37" customFormat="false" ht="15.75" hidden="false" customHeight="false" outlineLevel="0" collapsed="false">
      <c r="A37" s="2" t="n">
        <v>43596.356040625</v>
      </c>
      <c r="B37" s="1" t="s">
        <v>173</v>
      </c>
      <c r="C37" s="1" t="s">
        <v>112</v>
      </c>
      <c r="D37" s="1" t="n">
        <v>9</v>
      </c>
      <c r="E37" s="1" t="n">
        <v>149</v>
      </c>
      <c r="F37" s="1" t="s">
        <v>198</v>
      </c>
      <c r="G37" s="3" t="s">
        <v>175</v>
      </c>
      <c r="H37" s="1" t="s">
        <v>176</v>
      </c>
      <c r="I37" s="1" t="s">
        <v>41</v>
      </c>
      <c r="J37" s="1" t="s">
        <v>130</v>
      </c>
      <c r="K37" s="1" t="s">
        <v>49</v>
      </c>
      <c r="L37" s="1" t="s">
        <v>43</v>
      </c>
    </row>
    <row r="38" customFormat="false" ht="15.75" hidden="false" customHeight="false" outlineLevel="0" collapsed="false">
      <c r="A38" s="2" t="n">
        <v>43596.3876194097</v>
      </c>
      <c r="B38" s="1" t="s">
        <v>199</v>
      </c>
      <c r="C38" s="1" t="s">
        <v>200</v>
      </c>
      <c r="D38" s="1" t="n">
        <v>8</v>
      </c>
      <c r="E38" s="1" t="s">
        <v>201</v>
      </c>
      <c r="G38" s="3" t="s">
        <v>202</v>
      </c>
      <c r="H38" s="1" t="s">
        <v>203</v>
      </c>
      <c r="I38" s="1" t="s">
        <v>63</v>
      </c>
      <c r="J38" s="1" t="s">
        <v>34</v>
      </c>
      <c r="K38" s="1" t="s">
        <v>57</v>
      </c>
      <c r="L38" s="1" t="s">
        <v>28</v>
      </c>
    </row>
    <row r="39" customFormat="false" ht="15.75" hidden="false" customHeight="false" outlineLevel="0" collapsed="false">
      <c r="A39" s="2" t="n">
        <v>43596.3886171181</v>
      </c>
      <c r="B39" s="1" t="s">
        <v>204</v>
      </c>
      <c r="C39" s="1" t="s">
        <v>205</v>
      </c>
      <c r="D39" s="1" t="n">
        <v>9</v>
      </c>
      <c r="E39" s="1" t="n">
        <v>117</v>
      </c>
      <c r="G39" s="3" t="s">
        <v>206</v>
      </c>
      <c r="H39" s="1" t="s">
        <v>207</v>
      </c>
      <c r="I39" s="1" t="s">
        <v>146</v>
      </c>
      <c r="J39" s="1" t="s">
        <v>48</v>
      </c>
      <c r="K39" s="1" t="s">
        <v>19</v>
      </c>
      <c r="L39" s="1" t="s">
        <v>88</v>
      </c>
    </row>
    <row r="40" customFormat="false" ht="15.75" hidden="false" customHeight="false" outlineLevel="0" collapsed="false">
      <c r="A40" s="2" t="n">
        <v>43596.3965677083</v>
      </c>
      <c r="B40" s="1" t="s">
        <v>208</v>
      </c>
      <c r="C40" s="1" t="s">
        <v>90</v>
      </c>
      <c r="D40" s="1" t="n">
        <v>9</v>
      </c>
      <c r="E40" s="1" t="s">
        <v>209</v>
      </c>
      <c r="G40" s="3" t="s">
        <v>210</v>
      </c>
      <c r="H40" s="1" t="s">
        <v>211</v>
      </c>
      <c r="I40" s="1" t="s">
        <v>25</v>
      </c>
      <c r="J40" s="1" t="s">
        <v>98</v>
      </c>
      <c r="K40" s="1" t="s">
        <v>42</v>
      </c>
      <c r="L40" s="1" t="s">
        <v>43</v>
      </c>
    </row>
    <row r="41" customFormat="false" ht="15.75" hidden="false" customHeight="false" outlineLevel="0" collapsed="false">
      <c r="A41" s="2" t="n">
        <v>43596.3974244329</v>
      </c>
      <c r="B41" s="1" t="s">
        <v>212</v>
      </c>
      <c r="C41" s="1" t="s">
        <v>127</v>
      </c>
      <c r="D41" s="1" t="n">
        <v>8</v>
      </c>
      <c r="E41" s="1" t="s">
        <v>194</v>
      </c>
      <c r="F41" s="1" t="s">
        <v>213</v>
      </c>
      <c r="G41" s="3" t="s">
        <v>214</v>
      </c>
      <c r="H41" s="1" t="s">
        <v>215</v>
      </c>
      <c r="I41" s="1" t="s">
        <v>20</v>
      </c>
      <c r="J41" s="1" t="s">
        <v>20</v>
      </c>
      <c r="K41" s="1" t="s">
        <v>57</v>
      </c>
      <c r="L41" s="1" t="s">
        <v>120</v>
      </c>
    </row>
    <row r="42" customFormat="false" ht="15.75" hidden="false" customHeight="false" outlineLevel="0" collapsed="false">
      <c r="A42" s="2" t="n">
        <v>43596.4042562963</v>
      </c>
      <c r="B42" s="1" t="s">
        <v>216</v>
      </c>
      <c r="C42" s="1" t="s">
        <v>217</v>
      </c>
      <c r="D42" s="1" t="n">
        <v>8</v>
      </c>
      <c r="E42" s="1" t="s">
        <v>218</v>
      </c>
      <c r="G42" s="3" t="s">
        <v>219</v>
      </c>
      <c r="H42" s="1" t="s">
        <v>220</v>
      </c>
      <c r="I42" s="1" t="s">
        <v>20</v>
      </c>
      <c r="J42" s="1" t="s">
        <v>98</v>
      </c>
      <c r="K42" s="1" t="s">
        <v>42</v>
      </c>
      <c r="L42" s="1" t="s">
        <v>50</v>
      </c>
    </row>
    <row r="43" customFormat="false" ht="15.75" hidden="false" customHeight="false" outlineLevel="0" collapsed="false">
      <c r="A43" s="2" t="n">
        <v>43596.4054606944</v>
      </c>
      <c r="B43" s="1" t="s">
        <v>221</v>
      </c>
      <c r="C43" s="1" t="s">
        <v>90</v>
      </c>
      <c r="D43" s="1" t="n">
        <v>7</v>
      </c>
      <c r="E43" s="1" t="s">
        <v>222</v>
      </c>
      <c r="G43" s="3" t="s">
        <v>223</v>
      </c>
      <c r="H43" s="1" t="s">
        <v>224</v>
      </c>
      <c r="I43" s="1" t="s">
        <v>152</v>
      </c>
      <c r="J43" s="1" t="s">
        <v>64</v>
      </c>
      <c r="K43" s="1" t="s">
        <v>20</v>
      </c>
      <c r="L43" s="1" t="s">
        <v>28</v>
      </c>
    </row>
    <row r="44" customFormat="false" ht="15.75" hidden="false" customHeight="false" outlineLevel="0" collapsed="false">
      <c r="A44" s="2" t="n">
        <v>43596.4115535417</v>
      </c>
      <c r="B44" s="1" t="s">
        <v>225</v>
      </c>
      <c r="C44" s="1" t="s">
        <v>30</v>
      </c>
      <c r="D44" s="1" t="n">
        <v>10</v>
      </c>
      <c r="E44" s="1" t="s">
        <v>226</v>
      </c>
      <c r="G44" s="3" t="s">
        <v>227</v>
      </c>
      <c r="H44" s="1" t="s">
        <v>228</v>
      </c>
      <c r="I44" s="1" t="s">
        <v>17</v>
      </c>
      <c r="J44" s="1" t="s">
        <v>70</v>
      </c>
      <c r="K44" s="1" t="s">
        <v>35</v>
      </c>
      <c r="L44" s="1" t="s">
        <v>50</v>
      </c>
    </row>
    <row r="45" customFormat="false" ht="15.75" hidden="false" customHeight="false" outlineLevel="0" collapsed="false">
      <c r="A45" s="2" t="n">
        <v>43596.4176189931</v>
      </c>
      <c r="B45" s="1" t="s">
        <v>229</v>
      </c>
      <c r="C45" s="1" t="s">
        <v>230</v>
      </c>
      <c r="D45" s="1" t="n">
        <v>9</v>
      </c>
      <c r="E45" s="1" t="s">
        <v>231</v>
      </c>
      <c r="G45" s="3" t="s">
        <v>232</v>
      </c>
      <c r="H45" s="1" t="s">
        <v>233</v>
      </c>
      <c r="I45" s="1" t="s">
        <v>41</v>
      </c>
      <c r="J45" s="1" t="s">
        <v>70</v>
      </c>
      <c r="K45" s="1" t="s">
        <v>19</v>
      </c>
      <c r="L45" s="1" t="s">
        <v>50</v>
      </c>
    </row>
    <row r="46" customFormat="false" ht="15.75" hidden="false" customHeight="false" outlineLevel="0" collapsed="false">
      <c r="A46" s="2" t="n">
        <v>43596.4199355324</v>
      </c>
      <c r="B46" s="1" t="s">
        <v>234</v>
      </c>
      <c r="C46" s="1" t="s">
        <v>235</v>
      </c>
      <c r="D46" s="1" t="n">
        <v>10</v>
      </c>
      <c r="E46" s="1" t="s">
        <v>236</v>
      </c>
      <c r="G46" s="3" t="s">
        <v>237</v>
      </c>
      <c r="H46" s="1" t="s">
        <v>238</v>
      </c>
      <c r="I46" s="1" t="s">
        <v>146</v>
      </c>
      <c r="J46" s="1" t="s">
        <v>34</v>
      </c>
      <c r="K46" s="1" t="s">
        <v>19</v>
      </c>
      <c r="L46" s="1" t="s">
        <v>28</v>
      </c>
    </row>
    <row r="47" customFormat="false" ht="15.75" hidden="false" customHeight="false" outlineLevel="0" collapsed="false">
      <c r="A47" s="2" t="n">
        <v>43596.4222152199</v>
      </c>
      <c r="B47" s="1" t="s">
        <v>239</v>
      </c>
      <c r="C47" s="1" t="s">
        <v>142</v>
      </c>
      <c r="D47" s="1" t="n">
        <v>9</v>
      </c>
      <c r="E47" s="1" t="n">
        <v>74</v>
      </c>
      <c r="G47" s="3" t="s">
        <v>240</v>
      </c>
      <c r="H47" s="1" t="s">
        <v>241</v>
      </c>
      <c r="I47" s="1" t="s">
        <v>82</v>
      </c>
      <c r="J47" s="1" t="s">
        <v>34</v>
      </c>
      <c r="K47" s="1" t="s">
        <v>57</v>
      </c>
      <c r="L47" s="1" t="s">
        <v>28</v>
      </c>
    </row>
    <row r="48" customFormat="false" ht="15.75" hidden="false" customHeight="false" outlineLevel="0" collapsed="false">
      <c r="A48" s="2" t="n">
        <v>43596.4437453819</v>
      </c>
      <c r="B48" s="1" t="s">
        <v>242</v>
      </c>
      <c r="C48" s="1" t="s">
        <v>243</v>
      </c>
      <c r="D48" s="1" t="n">
        <v>8</v>
      </c>
      <c r="E48" s="1" t="s">
        <v>123</v>
      </c>
      <c r="G48" s="3" t="s">
        <v>244</v>
      </c>
      <c r="H48" s="1" t="s">
        <v>245</v>
      </c>
      <c r="I48" s="1" t="s">
        <v>82</v>
      </c>
      <c r="J48" s="1" t="s">
        <v>64</v>
      </c>
      <c r="K48" s="1" t="s">
        <v>42</v>
      </c>
      <c r="L48" s="1" t="s">
        <v>43</v>
      </c>
    </row>
    <row r="49" customFormat="false" ht="15.75" hidden="false" customHeight="false" outlineLevel="0" collapsed="false">
      <c r="A49" s="2" t="n">
        <v>43596.4578901852</v>
      </c>
      <c r="B49" s="1" t="s">
        <v>246</v>
      </c>
      <c r="C49" s="1" t="s">
        <v>247</v>
      </c>
      <c r="D49" s="1" t="n">
        <v>8</v>
      </c>
      <c r="E49" s="1" t="s">
        <v>123</v>
      </c>
      <c r="G49" s="3" t="s">
        <v>248</v>
      </c>
      <c r="H49" s="1" t="s">
        <v>249</v>
      </c>
      <c r="I49" s="1" t="s">
        <v>25</v>
      </c>
      <c r="J49" s="1" t="s">
        <v>34</v>
      </c>
      <c r="K49" s="1" t="s">
        <v>42</v>
      </c>
      <c r="L49" s="1" t="s">
        <v>28</v>
      </c>
    </row>
    <row r="50" customFormat="false" ht="15.75" hidden="false" customHeight="false" outlineLevel="0" collapsed="false">
      <c r="A50" s="2" t="n">
        <v>43596.4968668171</v>
      </c>
      <c r="B50" s="1" t="s">
        <v>250</v>
      </c>
      <c r="C50" s="1" t="s">
        <v>127</v>
      </c>
      <c r="D50" s="1" t="n">
        <v>11</v>
      </c>
      <c r="E50" s="1" t="s">
        <v>231</v>
      </c>
      <c r="G50" s="3" t="s">
        <v>251</v>
      </c>
      <c r="H50" s="1" t="s">
        <v>252</v>
      </c>
      <c r="I50" s="1" t="s">
        <v>41</v>
      </c>
      <c r="J50" s="1" t="s">
        <v>26</v>
      </c>
      <c r="K50" s="1" t="s">
        <v>35</v>
      </c>
      <c r="L50" s="1" t="s">
        <v>99</v>
      </c>
    </row>
    <row r="51" customFormat="false" ht="15.75" hidden="false" customHeight="false" outlineLevel="0" collapsed="false">
      <c r="A51" s="2" t="n">
        <v>43596.5477639699</v>
      </c>
      <c r="B51" s="1" t="s">
        <v>253</v>
      </c>
      <c r="C51" s="1" t="s">
        <v>254</v>
      </c>
      <c r="D51" s="1" t="n">
        <v>9</v>
      </c>
      <c r="E51" s="1" t="s">
        <v>255</v>
      </c>
      <c r="G51" s="3" t="s">
        <v>256</v>
      </c>
      <c r="H51" s="1" t="s">
        <v>257</v>
      </c>
      <c r="I51" s="1" t="s">
        <v>41</v>
      </c>
      <c r="J51" s="1" t="s">
        <v>48</v>
      </c>
      <c r="K51" s="1" t="s">
        <v>115</v>
      </c>
      <c r="L51" s="1" t="s">
        <v>88</v>
      </c>
    </row>
    <row r="52" customFormat="false" ht="15.75" hidden="false" customHeight="false" outlineLevel="0" collapsed="false">
      <c r="A52" s="2" t="n">
        <v>43596.5459111343</v>
      </c>
      <c r="B52" s="1" t="s">
        <v>258</v>
      </c>
      <c r="C52" s="1" t="s">
        <v>117</v>
      </c>
      <c r="D52" s="1" t="n">
        <v>9</v>
      </c>
      <c r="E52" s="1" t="s">
        <v>165</v>
      </c>
      <c r="G52" s="3" t="s">
        <v>259</v>
      </c>
      <c r="H52" s="1" t="s">
        <v>260</v>
      </c>
      <c r="I52" s="1" t="s">
        <v>82</v>
      </c>
      <c r="J52" s="1" t="s">
        <v>98</v>
      </c>
      <c r="K52" s="1" t="s">
        <v>42</v>
      </c>
      <c r="L52" s="1" t="s">
        <v>36</v>
      </c>
    </row>
    <row r="53" customFormat="false" ht="15.75" hidden="false" customHeight="false" outlineLevel="0" collapsed="false">
      <c r="A53" s="2" t="n">
        <v>43596.5520757407</v>
      </c>
      <c r="B53" s="1" t="s">
        <v>261</v>
      </c>
      <c r="C53" s="1" t="s">
        <v>262</v>
      </c>
      <c r="D53" s="1" t="n">
        <v>10</v>
      </c>
      <c r="E53" s="1" t="s">
        <v>85</v>
      </c>
      <c r="G53" s="3" t="s">
        <v>263</v>
      </c>
      <c r="H53" s="1" t="s">
        <v>264</v>
      </c>
      <c r="I53" s="1" t="s">
        <v>25</v>
      </c>
      <c r="J53" s="1" t="s">
        <v>98</v>
      </c>
      <c r="K53" s="1" t="s">
        <v>19</v>
      </c>
      <c r="L53" s="1" t="s">
        <v>50</v>
      </c>
    </row>
    <row r="54" customFormat="false" ht="15.75" hidden="false" customHeight="false" outlineLevel="0" collapsed="false">
      <c r="A54" s="2" t="n">
        <v>43596.5526337037</v>
      </c>
      <c r="B54" s="1" t="s">
        <v>265</v>
      </c>
      <c r="C54" s="1" t="s">
        <v>266</v>
      </c>
      <c r="D54" s="1" t="n">
        <v>9</v>
      </c>
      <c r="E54" s="1" t="s">
        <v>53</v>
      </c>
      <c r="G54" s="3" t="s">
        <v>267</v>
      </c>
      <c r="H54" s="1" t="s">
        <v>268</v>
      </c>
      <c r="I54" s="1" t="s">
        <v>152</v>
      </c>
      <c r="J54" s="1" t="s">
        <v>130</v>
      </c>
      <c r="K54" s="1" t="s">
        <v>42</v>
      </c>
      <c r="L54" s="1" t="s">
        <v>28</v>
      </c>
    </row>
    <row r="55" customFormat="false" ht="15.75" hidden="false" customHeight="false" outlineLevel="0" collapsed="false">
      <c r="A55" s="2" t="n">
        <v>43596.5617024074</v>
      </c>
      <c r="B55" s="1" t="s">
        <v>269</v>
      </c>
      <c r="C55" s="1" t="s">
        <v>270</v>
      </c>
      <c r="D55" s="1" t="n">
        <v>9</v>
      </c>
      <c r="E55" s="1" t="s">
        <v>271</v>
      </c>
      <c r="G55" s="3" t="s">
        <v>272</v>
      </c>
      <c r="H55" s="1" t="s">
        <v>273</v>
      </c>
      <c r="I55" s="1" t="s">
        <v>25</v>
      </c>
      <c r="J55" s="1" t="s">
        <v>98</v>
      </c>
      <c r="K55" s="1" t="s">
        <v>27</v>
      </c>
      <c r="L55" s="1" t="s">
        <v>36</v>
      </c>
    </row>
    <row r="56" customFormat="false" ht="15.75" hidden="false" customHeight="false" outlineLevel="0" collapsed="false">
      <c r="A56" s="2" t="n">
        <v>43596.5840084028</v>
      </c>
      <c r="B56" s="1" t="s">
        <v>274</v>
      </c>
      <c r="C56" s="1" t="s">
        <v>275</v>
      </c>
      <c r="D56" s="1" t="n">
        <v>10</v>
      </c>
      <c r="E56" s="1" t="s">
        <v>276</v>
      </c>
      <c r="G56" s="3" t="s">
        <v>277</v>
      </c>
      <c r="H56" s="1" t="s">
        <v>278</v>
      </c>
      <c r="I56" s="1" t="s">
        <v>63</v>
      </c>
      <c r="J56" s="1" t="s">
        <v>26</v>
      </c>
      <c r="K56" s="1" t="s">
        <v>27</v>
      </c>
      <c r="L56" s="1" t="s">
        <v>28</v>
      </c>
    </row>
    <row r="57" customFormat="false" ht="15.75" hidden="false" customHeight="false" outlineLevel="0" collapsed="false">
      <c r="A57" s="2" t="n">
        <v>43596.5880618982</v>
      </c>
      <c r="B57" s="1" t="s">
        <v>279</v>
      </c>
      <c r="C57" s="1" t="s">
        <v>280</v>
      </c>
      <c r="D57" s="1" t="n">
        <v>9</v>
      </c>
      <c r="E57" s="1" t="s">
        <v>281</v>
      </c>
      <c r="G57" s="3" t="s">
        <v>282</v>
      </c>
      <c r="H57" s="1" t="s">
        <v>283</v>
      </c>
      <c r="I57" s="1" t="s">
        <v>17</v>
      </c>
      <c r="J57" s="1" t="s">
        <v>98</v>
      </c>
      <c r="K57" s="1" t="s">
        <v>42</v>
      </c>
      <c r="L57" s="1" t="s">
        <v>36</v>
      </c>
    </row>
    <row r="58" customFormat="false" ht="15.75" hidden="false" customHeight="false" outlineLevel="0" collapsed="false">
      <c r="A58" s="2" t="n">
        <v>43596.5989221412</v>
      </c>
      <c r="B58" s="1" t="s">
        <v>284</v>
      </c>
      <c r="C58" s="1" t="s">
        <v>285</v>
      </c>
      <c r="D58" s="1" t="n">
        <v>11</v>
      </c>
      <c r="E58" s="1" t="s">
        <v>286</v>
      </c>
      <c r="F58" s="1" t="s">
        <v>287</v>
      </c>
      <c r="G58" s="3" t="s">
        <v>288</v>
      </c>
      <c r="H58" s="1" t="s">
        <v>289</v>
      </c>
      <c r="I58" s="1" t="s">
        <v>41</v>
      </c>
      <c r="J58" s="1" t="s">
        <v>98</v>
      </c>
      <c r="K58" s="1" t="s">
        <v>42</v>
      </c>
      <c r="L58" s="1" t="s">
        <v>120</v>
      </c>
    </row>
    <row r="59" customFormat="false" ht="15.75" hidden="false" customHeight="false" outlineLevel="0" collapsed="false">
      <c r="A59" s="2" t="n">
        <v>43596.6003195255</v>
      </c>
      <c r="B59" s="1" t="s">
        <v>290</v>
      </c>
      <c r="C59" s="1" t="s">
        <v>142</v>
      </c>
      <c r="D59" s="1" t="n">
        <v>10</v>
      </c>
      <c r="E59" s="1" t="s">
        <v>123</v>
      </c>
      <c r="G59" s="1" t="s">
        <v>291</v>
      </c>
      <c r="H59" s="1" t="s">
        <v>292</v>
      </c>
      <c r="I59" s="1" t="s">
        <v>25</v>
      </c>
      <c r="J59" s="1" t="s">
        <v>64</v>
      </c>
      <c r="K59" s="1" t="s">
        <v>20</v>
      </c>
      <c r="L59" s="1" t="s">
        <v>20</v>
      </c>
    </row>
    <row r="60" customFormat="false" ht="15.75" hidden="false" customHeight="false" outlineLevel="0" collapsed="false">
      <c r="A60" s="2" t="n">
        <v>43596.6011825347</v>
      </c>
      <c r="B60" s="1" t="s">
        <v>293</v>
      </c>
      <c r="C60" s="1" t="s">
        <v>187</v>
      </c>
      <c r="D60" s="1" t="n">
        <v>8</v>
      </c>
      <c r="E60" s="1" t="s">
        <v>294</v>
      </c>
      <c r="G60" s="3" t="s">
        <v>295</v>
      </c>
      <c r="H60" s="1" t="s">
        <v>296</v>
      </c>
      <c r="I60" s="1" t="s">
        <v>146</v>
      </c>
      <c r="J60" s="1" t="s">
        <v>64</v>
      </c>
      <c r="K60" s="1" t="s">
        <v>115</v>
      </c>
      <c r="L60" s="1" t="s">
        <v>36</v>
      </c>
    </row>
    <row r="61" customFormat="false" ht="15.75" hidden="false" customHeight="false" outlineLevel="0" collapsed="false">
      <c r="A61" s="2" t="n">
        <v>43596.6053994676</v>
      </c>
      <c r="B61" s="1" t="s">
        <v>297</v>
      </c>
      <c r="C61" s="1" t="s">
        <v>298</v>
      </c>
      <c r="D61" s="1" t="n">
        <v>10</v>
      </c>
      <c r="E61" s="1" t="n">
        <v>64</v>
      </c>
      <c r="F61" s="1" t="s">
        <v>299</v>
      </c>
      <c r="G61" s="3" t="s">
        <v>300</v>
      </c>
      <c r="H61" s="1" t="s">
        <v>301</v>
      </c>
      <c r="I61" s="1" t="s">
        <v>302</v>
      </c>
      <c r="J61" s="1" t="s">
        <v>18</v>
      </c>
      <c r="K61" s="1" t="s">
        <v>35</v>
      </c>
      <c r="L61" s="1" t="s">
        <v>50</v>
      </c>
    </row>
    <row r="62" customFormat="false" ht="15.75" hidden="false" customHeight="false" outlineLevel="0" collapsed="false">
      <c r="A62" s="2" t="n">
        <v>43596.6080197106</v>
      </c>
      <c r="B62" s="1" t="s">
        <v>303</v>
      </c>
      <c r="C62" s="1" t="s">
        <v>304</v>
      </c>
      <c r="D62" s="1" t="n">
        <v>7</v>
      </c>
      <c r="E62" s="1" t="s">
        <v>305</v>
      </c>
      <c r="G62" s="1" t="s">
        <v>306</v>
      </c>
      <c r="H62" s="1" t="s">
        <v>307</v>
      </c>
      <c r="I62" s="1" t="s">
        <v>152</v>
      </c>
      <c r="J62" s="1" t="s">
        <v>70</v>
      </c>
      <c r="K62" s="1" t="s">
        <v>35</v>
      </c>
      <c r="L62" s="1" t="s">
        <v>36</v>
      </c>
    </row>
    <row r="63" customFormat="false" ht="15.75" hidden="false" customHeight="false" outlineLevel="0" collapsed="false">
      <c r="A63" s="2" t="n">
        <v>43596.6094416898</v>
      </c>
      <c r="B63" s="1" t="s">
        <v>308</v>
      </c>
      <c r="C63" s="1" t="s">
        <v>90</v>
      </c>
      <c r="D63" s="1" t="n">
        <v>8</v>
      </c>
      <c r="E63" s="1" t="s">
        <v>309</v>
      </c>
      <c r="G63" s="3" t="s">
        <v>310</v>
      </c>
      <c r="H63" s="1" t="s">
        <v>311</v>
      </c>
      <c r="I63" s="1" t="s">
        <v>41</v>
      </c>
      <c r="J63" s="1" t="s">
        <v>130</v>
      </c>
      <c r="K63" s="1" t="s">
        <v>49</v>
      </c>
      <c r="L63" s="1" t="s">
        <v>43</v>
      </c>
    </row>
    <row r="64" customFormat="false" ht="15.75" hidden="false" customHeight="false" outlineLevel="0" collapsed="false">
      <c r="A64" s="2" t="n">
        <v>43596.6201737616</v>
      </c>
      <c r="B64" s="1" t="s">
        <v>312</v>
      </c>
      <c r="C64" s="1" t="s">
        <v>298</v>
      </c>
      <c r="D64" s="1" t="n">
        <v>9</v>
      </c>
      <c r="E64" s="1" t="n">
        <v>117</v>
      </c>
      <c r="G64" s="3" t="s">
        <v>313</v>
      </c>
      <c r="H64" s="1" t="s">
        <v>314</v>
      </c>
      <c r="I64" s="1" t="s">
        <v>63</v>
      </c>
      <c r="J64" s="1" t="s">
        <v>34</v>
      </c>
      <c r="K64" s="1" t="s">
        <v>57</v>
      </c>
      <c r="L64" s="1" t="s">
        <v>36</v>
      </c>
    </row>
    <row r="65" customFormat="false" ht="15.75" hidden="false" customHeight="false" outlineLevel="0" collapsed="false">
      <c r="A65" s="2" t="n">
        <v>43596.6399471759</v>
      </c>
      <c r="B65" s="1" t="s">
        <v>315</v>
      </c>
      <c r="C65" s="1" t="s">
        <v>316</v>
      </c>
      <c r="D65" s="1" t="n">
        <v>9</v>
      </c>
      <c r="E65" s="1" t="s">
        <v>317</v>
      </c>
      <c r="G65" s="3" t="s">
        <v>318</v>
      </c>
      <c r="H65" s="1" t="s">
        <v>319</v>
      </c>
      <c r="I65" s="1" t="s">
        <v>146</v>
      </c>
      <c r="J65" s="1" t="s">
        <v>320</v>
      </c>
      <c r="K65" s="1" t="s">
        <v>19</v>
      </c>
      <c r="L65" s="1" t="s">
        <v>71</v>
      </c>
    </row>
    <row r="66" customFormat="false" ht="15.75" hidden="false" customHeight="false" outlineLevel="0" collapsed="false">
      <c r="A66" s="2" t="n">
        <v>43596.6440357986</v>
      </c>
      <c r="B66" s="1" t="s">
        <v>321</v>
      </c>
      <c r="C66" s="1" t="s">
        <v>322</v>
      </c>
      <c r="D66" s="1" t="n">
        <v>9</v>
      </c>
      <c r="E66" s="1" t="n">
        <v>117</v>
      </c>
      <c r="G66" s="3" t="s">
        <v>323</v>
      </c>
      <c r="H66" s="1" t="s">
        <v>324</v>
      </c>
      <c r="I66" s="1" t="s">
        <v>146</v>
      </c>
      <c r="J66" s="1" t="s">
        <v>130</v>
      </c>
      <c r="K66" s="1" t="s">
        <v>19</v>
      </c>
      <c r="L66" s="1" t="s">
        <v>71</v>
      </c>
    </row>
    <row r="67" customFormat="false" ht="15.75" hidden="false" customHeight="false" outlineLevel="0" collapsed="false">
      <c r="A67" s="2" t="n">
        <v>43596.6590376389</v>
      </c>
      <c r="B67" s="1" t="s">
        <v>325</v>
      </c>
      <c r="C67" s="1" t="s">
        <v>326</v>
      </c>
      <c r="D67" s="1" t="n">
        <v>8</v>
      </c>
      <c r="E67" s="1" t="s">
        <v>123</v>
      </c>
      <c r="G67" s="3" t="s">
        <v>327</v>
      </c>
      <c r="H67" s="1" t="s">
        <v>328</v>
      </c>
      <c r="I67" s="1" t="s">
        <v>25</v>
      </c>
      <c r="J67" s="1" t="s">
        <v>34</v>
      </c>
      <c r="K67" s="1" t="s">
        <v>57</v>
      </c>
      <c r="L67" s="1" t="s">
        <v>36</v>
      </c>
    </row>
    <row r="68" customFormat="false" ht="15.75" hidden="false" customHeight="false" outlineLevel="0" collapsed="false">
      <c r="A68" s="2" t="n">
        <v>43596.6632179514</v>
      </c>
      <c r="B68" s="1" t="s">
        <v>329</v>
      </c>
      <c r="C68" s="1" t="s">
        <v>330</v>
      </c>
      <c r="D68" s="1" t="n">
        <v>10</v>
      </c>
      <c r="E68" s="1" t="s">
        <v>133</v>
      </c>
      <c r="G68" s="3" t="s">
        <v>331</v>
      </c>
      <c r="H68" s="1" t="s">
        <v>332</v>
      </c>
      <c r="I68" s="1" t="s">
        <v>25</v>
      </c>
      <c r="J68" s="1" t="s">
        <v>26</v>
      </c>
      <c r="K68" s="1" t="s">
        <v>57</v>
      </c>
      <c r="L68" s="1" t="s">
        <v>99</v>
      </c>
    </row>
    <row r="69" customFormat="false" ht="15.75" hidden="false" customHeight="false" outlineLevel="0" collapsed="false">
      <c r="A69" s="2" t="n">
        <v>43596.6663452778</v>
      </c>
      <c r="B69" s="1" t="s">
        <v>333</v>
      </c>
      <c r="C69" s="1" t="s">
        <v>334</v>
      </c>
      <c r="D69" s="1" t="n">
        <v>8</v>
      </c>
      <c r="E69" s="1" t="s">
        <v>123</v>
      </c>
      <c r="F69" s="1" t="s">
        <v>335</v>
      </c>
      <c r="G69" s="3" t="s">
        <v>336</v>
      </c>
      <c r="H69" s="1" t="s">
        <v>337</v>
      </c>
      <c r="I69" s="1" t="s">
        <v>25</v>
      </c>
      <c r="J69" s="1" t="s">
        <v>34</v>
      </c>
      <c r="K69" s="1" t="s">
        <v>42</v>
      </c>
      <c r="L69" s="1" t="s">
        <v>43</v>
      </c>
    </row>
    <row r="70" customFormat="false" ht="15.75" hidden="false" customHeight="false" outlineLevel="0" collapsed="false">
      <c r="A70" s="2" t="n">
        <v>43596.6732452662</v>
      </c>
      <c r="B70" s="1" t="s">
        <v>338</v>
      </c>
      <c r="C70" s="1" t="s">
        <v>200</v>
      </c>
      <c r="D70" s="1" t="n">
        <v>10</v>
      </c>
      <c r="E70" s="1" t="s">
        <v>133</v>
      </c>
      <c r="G70" s="3" t="s">
        <v>339</v>
      </c>
      <c r="H70" s="1" t="s">
        <v>340</v>
      </c>
      <c r="I70" s="1" t="s">
        <v>25</v>
      </c>
      <c r="J70" s="1" t="s">
        <v>26</v>
      </c>
      <c r="K70" s="1" t="s">
        <v>57</v>
      </c>
      <c r="L70" s="1" t="s">
        <v>36</v>
      </c>
    </row>
    <row r="71" customFormat="false" ht="15.75" hidden="false" customHeight="false" outlineLevel="0" collapsed="false">
      <c r="A71" s="2" t="n">
        <v>43596.6751892361</v>
      </c>
      <c r="B71" s="1" t="s">
        <v>341</v>
      </c>
      <c r="C71" s="1" t="s">
        <v>342</v>
      </c>
      <c r="D71" s="1" t="n">
        <v>10</v>
      </c>
      <c r="E71" s="1" t="s">
        <v>343</v>
      </c>
      <c r="G71" s="3" t="s">
        <v>344</v>
      </c>
      <c r="H71" s="1" t="s">
        <v>345</v>
      </c>
      <c r="I71" s="1" t="s">
        <v>82</v>
      </c>
      <c r="J71" s="1" t="s">
        <v>18</v>
      </c>
      <c r="K71" s="1" t="s">
        <v>42</v>
      </c>
      <c r="L71" s="1" t="s">
        <v>99</v>
      </c>
    </row>
    <row r="72" customFormat="false" ht="15.75" hidden="false" customHeight="false" outlineLevel="0" collapsed="false">
      <c r="A72" s="2" t="n">
        <v>43596.7015964236</v>
      </c>
      <c r="B72" s="1" t="s">
        <v>346</v>
      </c>
      <c r="C72" s="1" t="s">
        <v>322</v>
      </c>
      <c r="D72" s="1" t="n">
        <v>9</v>
      </c>
      <c r="E72" s="1" t="n">
        <v>117</v>
      </c>
      <c r="G72" s="3" t="s">
        <v>347</v>
      </c>
      <c r="H72" s="1" t="s">
        <v>348</v>
      </c>
      <c r="I72" s="1" t="s">
        <v>25</v>
      </c>
      <c r="J72" s="1" t="s">
        <v>130</v>
      </c>
      <c r="K72" s="1" t="s">
        <v>49</v>
      </c>
      <c r="L72" s="1" t="s">
        <v>36</v>
      </c>
    </row>
    <row r="73" customFormat="false" ht="15.75" hidden="false" customHeight="false" outlineLevel="0" collapsed="false">
      <c r="A73" s="2" t="n">
        <v>43596.7016144907</v>
      </c>
      <c r="B73" s="1" t="s">
        <v>349</v>
      </c>
      <c r="C73" s="1" t="s">
        <v>350</v>
      </c>
      <c r="D73" s="1" t="n">
        <v>9</v>
      </c>
      <c r="E73" s="1" t="n">
        <v>117</v>
      </c>
      <c r="G73" s="3" t="s">
        <v>351</v>
      </c>
      <c r="H73" s="1" t="s">
        <v>352</v>
      </c>
      <c r="I73" s="1" t="s">
        <v>25</v>
      </c>
      <c r="J73" s="1" t="s">
        <v>130</v>
      </c>
      <c r="K73" s="1" t="s">
        <v>49</v>
      </c>
      <c r="L73" s="1" t="s">
        <v>36</v>
      </c>
    </row>
    <row r="74" customFormat="false" ht="15.75" hidden="false" customHeight="false" outlineLevel="0" collapsed="false">
      <c r="A74" s="2" t="n">
        <v>43596.7047884838</v>
      </c>
      <c r="B74" s="1" t="s">
        <v>353</v>
      </c>
      <c r="C74" s="1" t="s">
        <v>127</v>
      </c>
      <c r="D74" s="1" t="n">
        <v>8</v>
      </c>
      <c r="E74" s="1" t="s">
        <v>354</v>
      </c>
      <c r="G74" s="3" t="s">
        <v>355</v>
      </c>
      <c r="H74" s="1" t="s">
        <v>356</v>
      </c>
      <c r="I74" s="1" t="s">
        <v>82</v>
      </c>
      <c r="J74" s="1" t="s">
        <v>98</v>
      </c>
      <c r="K74" s="1" t="s">
        <v>57</v>
      </c>
      <c r="L74" s="1" t="s">
        <v>28</v>
      </c>
    </row>
    <row r="75" customFormat="false" ht="15.75" hidden="false" customHeight="false" outlineLevel="0" collapsed="false">
      <c r="A75" s="2" t="n">
        <v>43596.707770787</v>
      </c>
      <c r="B75" s="1" t="s">
        <v>357</v>
      </c>
      <c r="C75" s="1" t="s">
        <v>200</v>
      </c>
      <c r="D75" s="1" t="n">
        <v>11</v>
      </c>
      <c r="E75" s="1" t="s">
        <v>358</v>
      </c>
      <c r="G75" s="3" t="s">
        <v>359</v>
      </c>
      <c r="H75" s="1" t="s">
        <v>360</v>
      </c>
      <c r="I75" s="1" t="s">
        <v>17</v>
      </c>
      <c r="J75" s="1" t="s">
        <v>64</v>
      </c>
      <c r="K75" s="1" t="s">
        <v>35</v>
      </c>
      <c r="L75" s="1" t="s">
        <v>36</v>
      </c>
    </row>
    <row r="76" customFormat="false" ht="15.75" hidden="false" customHeight="false" outlineLevel="0" collapsed="false">
      <c r="A76" s="2" t="n">
        <v>43596.7088095833</v>
      </c>
      <c r="B76" s="1" t="s">
        <v>361</v>
      </c>
      <c r="C76" s="1" t="s">
        <v>326</v>
      </c>
      <c r="D76" s="1" t="n">
        <v>8</v>
      </c>
      <c r="E76" s="1" t="s">
        <v>123</v>
      </c>
      <c r="G76" s="3" t="s">
        <v>362</v>
      </c>
      <c r="H76" s="1" t="s">
        <v>363</v>
      </c>
      <c r="I76" s="1" t="s">
        <v>25</v>
      </c>
      <c r="J76" s="1" t="s">
        <v>34</v>
      </c>
      <c r="K76" s="1" t="s">
        <v>42</v>
      </c>
      <c r="L76" s="1" t="s">
        <v>28</v>
      </c>
    </row>
    <row r="77" customFormat="false" ht="15.75" hidden="false" customHeight="false" outlineLevel="0" collapsed="false">
      <c r="A77" s="2" t="n">
        <v>43596.7118167708</v>
      </c>
      <c r="B77" s="1" t="s">
        <v>364</v>
      </c>
      <c r="C77" s="1" t="s">
        <v>365</v>
      </c>
      <c r="D77" s="1" t="n">
        <v>8</v>
      </c>
      <c r="E77" s="1" t="s">
        <v>366</v>
      </c>
      <c r="G77" s="3" t="s">
        <v>367</v>
      </c>
      <c r="H77" s="1" t="s">
        <v>368</v>
      </c>
      <c r="I77" s="1" t="s">
        <v>25</v>
      </c>
      <c r="J77" s="1" t="s">
        <v>34</v>
      </c>
      <c r="K77" s="1" t="s">
        <v>27</v>
      </c>
      <c r="L77" s="1" t="s">
        <v>28</v>
      </c>
    </row>
    <row r="78" customFormat="false" ht="15.75" hidden="false" customHeight="false" outlineLevel="0" collapsed="false">
      <c r="A78" s="2" t="n">
        <v>43596.7144232639</v>
      </c>
      <c r="B78" s="1" t="s">
        <v>369</v>
      </c>
      <c r="C78" s="1" t="s">
        <v>117</v>
      </c>
      <c r="D78" s="1" t="n">
        <v>9</v>
      </c>
      <c r="E78" s="1" t="s">
        <v>370</v>
      </c>
      <c r="F78" s="1" t="s">
        <v>371</v>
      </c>
      <c r="G78" s="3" t="s">
        <v>372</v>
      </c>
      <c r="H78" s="1" t="s">
        <v>373</v>
      </c>
      <c r="I78" s="1" t="s">
        <v>17</v>
      </c>
      <c r="J78" s="1" t="s">
        <v>64</v>
      </c>
      <c r="K78" s="1" t="s">
        <v>20</v>
      </c>
      <c r="L78" s="1" t="s">
        <v>20</v>
      </c>
    </row>
    <row r="79" customFormat="false" ht="15.75" hidden="false" customHeight="false" outlineLevel="0" collapsed="false">
      <c r="A79" s="2" t="n">
        <v>43596.7157064236</v>
      </c>
      <c r="B79" s="1" t="s">
        <v>374</v>
      </c>
      <c r="C79" s="1" t="s">
        <v>193</v>
      </c>
      <c r="D79" s="1" t="n">
        <v>8</v>
      </c>
      <c r="E79" s="1" t="s">
        <v>375</v>
      </c>
      <c r="G79" s="3" t="s">
        <v>376</v>
      </c>
      <c r="H79" s="1" t="s">
        <v>377</v>
      </c>
      <c r="I79" s="1" t="s">
        <v>25</v>
      </c>
      <c r="J79" s="1" t="s">
        <v>34</v>
      </c>
      <c r="K79" s="1" t="s">
        <v>42</v>
      </c>
      <c r="L79" s="1" t="s">
        <v>28</v>
      </c>
    </row>
    <row r="80" customFormat="false" ht="15.75" hidden="false" customHeight="false" outlineLevel="0" collapsed="false">
      <c r="A80" s="2" t="n">
        <v>43596.7302930093</v>
      </c>
      <c r="B80" s="1" t="s">
        <v>378</v>
      </c>
      <c r="C80" s="1" t="s">
        <v>379</v>
      </c>
      <c r="D80" s="1" t="n">
        <v>9</v>
      </c>
      <c r="E80" s="1" t="s">
        <v>380</v>
      </c>
      <c r="F80" s="1" t="s">
        <v>381</v>
      </c>
      <c r="G80" s="3" t="s">
        <v>382</v>
      </c>
      <c r="H80" s="1" t="s">
        <v>383</v>
      </c>
      <c r="I80" s="1" t="s">
        <v>63</v>
      </c>
      <c r="J80" s="1" t="s">
        <v>26</v>
      </c>
      <c r="K80" s="1" t="s">
        <v>57</v>
      </c>
      <c r="L80" s="1" t="s">
        <v>36</v>
      </c>
    </row>
    <row r="81" customFormat="false" ht="15.75" hidden="false" customHeight="false" outlineLevel="0" collapsed="false">
      <c r="A81" s="2" t="n">
        <v>43596.7341713542</v>
      </c>
      <c r="B81" s="1" t="s">
        <v>384</v>
      </c>
      <c r="C81" s="1" t="s">
        <v>385</v>
      </c>
      <c r="D81" s="1" t="n">
        <v>11</v>
      </c>
      <c r="E81" s="1" t="s">
        <v>386</v>
      </c>
      <c r="F81" s="1" t="s">
        <v>387</v>
      </c>
      <c r="G81" s="3" t="s">
        <v>388</v>
      </c>
      <c r="H81" s="1" t="s">
        <v>389</v>
      </c>
      <c r="I81" s="1" t="s">
        <v>17</v>
      </c>
      <c r="J81" s="1" t="s">
        <v>64</v>
      </c>
      <c r="K81" s="1" t="s">
        <v>27</v>
      </c>
      <c r="L81" s="1" t="s">
        <v>36</v>
      </c>
    </row>
    <row r="82" customFormat="false" ht="15.75" hidden="false" customHeight="false" outlineLevel="0" collapsed="false">
      <c r="A82" s="2" t="n">
        <v>43596.7357905787</v>
      </c>
      <c r="B82" s="1" t="s">
        <v>390</v>
      </c>
      <c r="C82" s="1" t="s">
        <v>200</v>
      </c>
      <c r="D82" s="1" t="n">
        <v>11</v>
      </c>
      <c r="E82" s="1" t="s">
        <v>391</v>
      </c>
      <c r="G82" s="3" t="s">
        <v>392</v>
      </c>
      <c r="H82" s="1" t="s">
        <v>393</v>
      </c>
      <c r="I82" s="1" t="s">
        <v>82</v>
      </c>
      <c r="J82" s="1" t="s">
        <v>98</v>
      </c>
      <c r="L82" s="1" t="s">
        <v>99</v>
      </c>
    </row>
    <row r="83" customFormat="false" ht="15.75" hidden="false" customHeight="false" outlineLevel="0" collapsed="false">
      <c r="A83" s="2" t="n">
        <v>43596.7411812269</v>
      </c>
      <c r="B83" s="1" t="s">
        <v>390</v>
      </c>
      <c r="C83" s="1" t="s">
        <v>200</v>
      </c>
      <c r="D83" s="1" t="n">
        <v>11</v>
      </c>
      <c r="E83" s="1" t="s">
        <v>391</v>
      </c>
      <c r="G83" s="3" t="s">
        <v>392</v>
      </c>
      <c r="H83" s="1" t="s">
        <v>393</v>
      </c>
      <c r="I83" s="1" t="s">
        <v>82</v>
      </c>
      <c r="J83" s="1" t="s">
        <v>98</v>
      </c>
      <c r="L83" s="1" t="s">
        <v>99</v>
      </c>
    </row>
    <row r="84" customFormat="false" ht="15.75" hidden="false" customHeight="false" outlineLevel="0" collapsed="false">
      <c r="A84" s="2" t="n">
        <v>43596.7475947222</v>
      </c>
      <c r="B84" s="1" t="s">
        <v>390</v>
      </c>
      <c r="C84" s="1" t="s">
        <v>200</v>
      </c>
      <c r="D84" s="1" t="n">
        <v>11</v>
      </c>
      <c r="E84" s="1" t="s">
        <v>391</v>
      </c>
      <c r="G84" s="3" t="s">
        <v>392</v>
      </c>
      <c r="H84" s="1" t="s">
        <v>393</v>
      </c>
      <c r="I84" s="1" t="s">
        <v>82</v>
      </c>
      <c r="J84" s="1" t="s">
        <v>98</v>
      </c>
      <c r="L84" s="1" t="s">
        <v>99</v>
      </c>
    </row>
    <row r="85" customFormat="false" ht="15.75" hidden="false" customHeight="false" outlineLevel="0" collapsed="false">
      <c r="A85" s="2" t="n">
        <v>43596.7504712847</v>
      </c>
      <c r="B85" s="1" t="s">
        <v>394</v>
      </c>
      <c r="C85" s="1" t="s">
        <v>395</v>
      </c>
      <c r="D85" s="1" t="n">
        <v>11</v>
      </c>
      <c r="E85" s="1" t="s">
        <v>396</v>
      </c>
      <c r="G85" s="3" t="s">
        <v>397</v>
      </c>
      <c r="H85" s="1" t="s">
        <v>393</v>
      </c>
      <c r="I85" s="1" t="s">
        <v>82</v>
      </c>
      <c r="J85" s="1" t="s">
        <v>98</v>
      </c>
      <c r="K85" s="1" t="s">
        <v>27</v>
      </c>
      <c r="L85" s="1" t="s">
        <v>99</v>
      </c>
    </row>
    <row r="86" customFormat="false" ht="15.75" hidden="false" customHeight="false" outlineLevel="0" collapsed="false">
      <c r="A86" s="2" t="n">
        <v>43596.7675938426</v>
      </c>
      <c r="B86" s="1" t="s">
        <v>398</v>
      </c>
      <c r="C86" s="1" t="s">
        <v>399</v>
      </c>
      <c r="D86" s="1" t="n">
        <v>10</v>
      </c>
      <c r="E86" s="1" t="s">
        <v>400</v>
      </c>
      <c r="G86" s="3" t="s">
        <v>401</v>
      </c>
      <c r="H86" s="1" t="s">
        <v>402</v>
      </c>
      <c r="I86" s="1" t="s">
        <v>41</v>
      </c>
      <c r="J86" s="1" t="s">
        <v>70</v>
      </c>
      <c r="K86" s="1" t="s">
        <v>27</v>
      </c>
      <c r="L86" s="1" t="s">
        <v>120</v>
      </c>
    </row>
    <row r="87" customFormat="false" ht="15.75" hidden="false" customHeight="false" outlineLevel="0" collapsed="false">
      <c r="A87" s="2" t="n">
        <v>43596.7714077778</v>
      </c>
      <c r="B87" s="1" t="s">
        <v>403</v>
      </c>
      <c r="C87" s="1" t="s">
        <v>285</v>
      </c>
      <c r="D87" s="1" t="n">
        <v>8</v>
      </c>
      <c r="E87" s="1" t="s">
        <v>404</v>
      </c>
      <c r="G87" s="3" t="s">
        <v>405</v>
      </c>
      <c r="H87" s="1" t="s">
        <v>406</v>
      </c>
      <c r="I87" s="1" t="s">
        <v>63</v>
      </c>
      <c r="J87" s="1" t="s">
        <v>98</v>
      </c>
      <c r="L87" s="1" t="s">
        <v>71</v>
      </c>
    </row>
    <row r="88" customFormat="false" ht="15.75" hidden="false" customHeight="false" outlineLevel="0" collapsed="false">
      <c r="A88" s="2" t="n">
        <v>43596.7776007523</v>
      </c>
      <c r="B88" s="1" t="s">
        <v>403</v>
      </c>
      <c r="C88" s="1" t="s">
        <v>285</v>
      </c>
      <c r="D88" s="1" t="n">
        <v>8</v>
      </c>
      <c r="E88" s="1" t="s">
        <v>404</v>
      </c>
      <c r="G88" s="3" t="s">
        <v>405</v>
      </c>
      <c r="H88" s="1" t="s">
        <v>406</v>
      </c>
      <c r="I88" s="1" t="s">
        <v>63</v>
      </c>
      <c r="J88" s="1" t="s">
        <v>98</v>
      </c>
      <c r="K88" s="1" t="s">
        <v>57</v>
      </c>
      <c r="L88" s="1" t="s">
        <v>71</v>
      </c>
    </row>
    <row r="89" customFormat="false" ht="15.75" hidden="false" customHeight="false" outlineLevel="0" collapsed="false">
      <c r="A89" s="2" t="n">
        <v>43596.8151629282</v>
      </c>
      <c r="B89" s="1" t="s">
        <v>407</v>
      </c>
      <c r="C89" s="1" t="s">
        <v>52</v>
      </c>
      <c r="D89" s="1" t="n">
        <v>9</v>
      </c>
      <c r="E89" s="1" t="s">
        <v>408</v>
      </c>
      <c r="G89" s="3" t="s">
        <v>409</v>
      </c>
      <c r="H89" s="1" t="s">
        <v>410</v>
      </c>
      <c r="I89" s="1" t="s">
        <v>82</v>
      </c>
      <c r="J89" s="1" t="s">
        <v>64</v>
      </c>
      <c r="K89" s="1" t="s">
        <v>57</v>
      </c>
      <c r="L89" s="1" t="s">
        <v>28</v>
      </c>
    </row>
    <row r="90" customFormat="false" ht="15.75" hidden="false" customHeight="false" outlineLevel="0" collapsed="false">
      <c r="A90" s="2" t="n">
        <v>43596.8581851852</v>
      </c>
      <c r="B90" s="1" t="s">
        <v>411</v>
      </c>
      <c r="C90" s="1" t="s">
        <v>187</v>
      </c>
      <c r="D90" s="1" t="n">
        <v>10</v>
      </c>
      <c r="E90" s="1" t="n">
        <v>149</v>
      </c>
      <c r="G90" s="3" t="s">
        <v>412</v>
      </c>
      <c r="H90" s="1" t="s">
        <v>413</v>
      </c>
      <c r="I90" s="1" t="s">
        <v>17</v>
      </c>
      <c r="J90" s="1" t="s">
        <v>130</v>
      </c>
      <c r="K90" s="1" t="s">
        <v>35</v>
      </c>
      <c r="L90" s="1" t="s">
        <v>120</v>
      </c>
    </row>
    <row r="91" customFormat="false" ht="15.75" hidden="false" customHeight="false" outlineLevel="0" collapsed="false">
      <c r="A91" s="2" t="n">
        <v>43596.8629491435</v>
      </c>
      <c r="B91" s="1" t="s">
        <v>414</v>
      </c>
      <c r="C91" s="1" t="s">
        <v>193</v>
      </c>
      <c r="D91" s="1" t="n">
        <v>9</v>
      </c>
      <c r="E91" s="1" t="s">
        <v>123</v>
      </c>
      <c r="G91" s="3" t="s">
        <v>415</v>
      </c>
      <c r="H91" s="1" t="s">
        <v>416</v>
      </c>
      <c r="I91" s="1" t="s">
        <v>63</v>
      </c>
      <c r="J91" s="1" t="s">
        <v>70</v>
      </c>
      <c r="K91" s="1" t="s">
        <v>27</v>
      </c>
      <c r="L91" s="1" t="s">
        <v>28</v>
      </c>
    </row>
    <row r="92" customFormat="false" ht="15.75" hidden="false" customHeight="false" outlineLevel="0" collapsed="false">
      <c r="A92" s="2" t="n">
        <v>43596.8617004398</v>
      </c>
      <c r="B92" s="1" t="s">
        <v>417</v>
      </c>
      <c r="C92" s="1" t="s">
        <v>418</v>
      </c>
      <c r="D92" s="1" t="n">
        <v>9</v>
      </c>
      <c r="E92" s="1" t="s">
        <v>419</v>
      </c>
      <c r="G92" s="3" t="s">
        <v>420</v>
      </c>
      <c r="H92" s="1" t="s">
        <v>421</v>
      </c>
      <c r="I92" s="1" t="s">
        <v>63</v>
      </c>
      <c r="J92" s="1" t="s">
        <v>70</v>
      </c>
      <c r="K92" s="1" t="s">
        <v>27</v>
      </c>
      <c r="L92" s="1" t="s">
        <v>28</v>
      </c>
    </row>
    <row r="93" customFormat="false" ht="15.75" hidden="false" customHeight="false" outlineLevel="0" collapsed="false">
      <c r="A93" s="2" t="n">
        <v>43597.1430154051</v>
      </c>
      <c r="B93" s="1" t="s">
        <v>422</v>
      </c>
      <c r="C93" s="1" t="s">
        <v>138</v>
      </c>
      <c r="D93" s="1" t="n">
        <v>8</v>
      </c>
      <c r="E93" s="1" t="s">
        <v>423</v>
      </c>
      <c r="G93" s="3" t="s">
        <v>424</v>
      </c>
      <c r="H93" s="1" t="s">
        <v>425</v>
      </c>
      <c r="I93" s="1" t="s">
        <v>17</v>
      </c>
      <c r="J93" s="1" t="s">
        <v>26</v>
      </c>
      <c r="K93" s="1" t="s">
        <v>35</v>
      </c>
      <c r="L93" s="1" t="s">
        <v>28</v>
      </c>
    </row>
    <row r="94" customFormat="false" ht="15.75" hidden="false" customHeight="false" outlineLevel="0" collapsed="false">
      <c r="A94" s="2" t="n">
        <v>43597.1503416898</v>
      </c>
      <c r="B94" s="1" t="s">
        <v>426</v>
      </c>
      <c r="C94" s="1" t="s">
        <v>427</v>
      </c>
      <c r="D94" s="1" t="n">
        <v>10</v>
      </c>
      <c r="E94" s="1" t="s">
        <v>428</v>
      </c>
      <c r="G94" s="3" t="s">
        <v>429</v>
      </c>
      <c r="H94" s="1" t="s">
        <v>430</v>
      </c>
      <c r="I94" s="1" t="s">
        <v>146</v>
      </c>
      <c r="J94" s="1" t="s">
        <v>98</v>
      </c>
      <c r="K94" s="1" t="s">
        <v>27</v>
      </c>
      <c r="L94" s="1" t="s">
        <v>43</v>
      </c>
    </row>
    <row r="95" customFormat="false" ht="15.75" hidden="false" customHeight="false" outlineLevel="0" collapsed="false">
      <c r="A95" s="2" t="n">
        <v>43597.1607829051</v>
      </c>
      <c r="B95" s="1" t="s">
        <v>431</v>
      </c>
      <c r="C95" s="1" t="s">
        <v>427</v>
      </c>
      <c r="D95" s="1" t="n">
        <v>9</v>
      </c>
      <c r="E95" s="1" t="s">
        <v>159</v>
      </c>
      <c r="G95" s="3" t="s">
        <v>432</v>
      </c>
      <c r="H95" s="1" t="s">
        <v>433</v>
      </c>
      <c r="I95" s="1" t="s">
        <v>17</v>
      </c>
      <c r="J95" s="1" t="s">
        <v>64</v>
      </c>
      <c r="K95" s="1" t="s">
        <v>49</v>
      </c>
      <c r="L95" s="1" t="s">
        <v>50</v>
      </c>
    </row>
    <row r="96" customFormat="false" ht="15.75" hidden="false" customHeight="false" outlineLevel="0" collapsed="false">
      <c r="A96" s="2" t="n">
        <v>43597.1856751505</v>
      </c>
      <c r="B96" s="1" t="s">
        <v>434</v>
      </c>
      <c r="C96" s="1" t="s">
        <v>435</v>
      </c>
      <c r="D96" s="1" t="n">
        <v>8</v>
      </c>
      <c r="E96" s="1" t="s">
        <v>436</v>
      </c>
      <c r="G96" s="3" t="s">
        <v>437</v>
      </c>
      <c r="H96" s="1" t="s">
        <v>438</v>
      </c>
      <c r="I96" s="1" t="s">
        <v>82</v>
      </c>
      <c r="J96" s="1" t="s">
        <v>98</v>
      </c>
      <c r="K96" s="1" t="s">
        <v>49</v>
      </c>
      <c r="L96" s="1" t="s">
        <v>28</v>
      </c>
    </row>
    <row r="97" customFormat="false" ht="15.75" hidden="false" customHeight="false" outlineLevel="0" collapsed="false">
      <c r="A97" s="2" t="n">
        <v>43597.1894358912</v>
      </c>
      <c r="B97" s="1" t="s">
        <v>439</v>
      </c>
      <c r="C97" s="1" t="s">
        <v>117</v>
      </c>
      <c r="D97" s="1" t="n">
        <v>10</v>
      </c>
      <c r="E97" s="1" t="s">
        <v>404</v>
      </c>
      <c r="F97" s="1" t="s">
        <v>440</v>
      </c>
      <c r="G97" s="3" t="s">
        <v>441</v>
      </c>
      <c r="H97" s="1" t="s">
        <v>442</v>
      </c>
      <c r="I97" s="1" t="s">
        <v>63</v>
      </c>
      <c r="J97" s="1" t="s">
        <v>26</v>
      </c>
      <c r="K97" s="1" t="s">
        <v>57</v>
      </c>
      <c r="L97" s="1" t="s">
        <v>120</v>
      </c>
    </row>
    <row r="98" customFormat="false" ht="15.75" hidden="false" customHeight="false" outlineLevel="0" collapsed="false">
      <c r="A98" s="2" t="n">
        <v>43597.2128737153</v>
      </c>
      <c r="B98" s="1" t="s">
        <v>443</v>
      </c>
      <c r="C98" s="1" t="s">
        <v>444</v>
      </c>
      <c r="D98" s="1" t="n">
        <v>8</v>
      </c>
      <c r="E98" s="1" t="s">
        <v>445</v>
      </c>
      <c r="G98" s="3" t="s">
        <v>446</v>
      </c>
      <c r="H98" s="1" t="s">
        <v>447</v>
      </c>
      <c r="I98" s="1" t="s">
        <v>20</v>
      </c>
      <c r="J98" s="1" t="s">
        <v>20</v>
      </c>
      <c r="K98" s="1" t="s">
        <v>35</v>
      </c>
      <c r="L98" s="1" t="s">
        <v>36</v>
      </c>
    </row>
    <row r="99" customFormat="false" ht="15.75" hidden="false" customHeight="false" outlineLevel="0" collapsed="false">
      <c r="A99" s="2" t="n">
        <v>43597.2179690278</v>
      </c>
      <c r="B99" s="1" t="s">
        <v>448</v>
      </c>
      <c r="C99" s="1" t="s">
        <v>449</v>
      </c>
      <c r="D99" s="1" t="n">
        <v>9</v>
      </c>
      <c r="E99" s="1" t="s">
        <v>309</v>
      </c>
      <c r="G99" s="3" t="s">
        <v>450</v>
      </c>
      <c r="H99" s="1" t="s">
        <v>451</v>
      </c>
      <c r="I99" s="1" t="s">
        <v>25</v>
      </c>
      <c r="J99" s="1" t="s">
        <v>98</v>
      </c>
      <c r="K99" s="1" t="s">
        <v>42</v>
      </c>
      <c r="L99" s="1" t="s">
        <v>99</v>
      </c>
    </row>
    <row r="100" customFormat="false" ht="15.75" hidden="false" customHeight="false" outlineLevel="0" collapsed="false">
      <c r="A100" s="2" t="n">
        <v>43597.2557208681</v>
      </c>
      <c r="B100" s="1" t="s">
        <v>452</v>
      </c>
      <c r="C100" s="1" t="s">
        <v>22</v>
      </c>
      <c r="D100" s="1" t="n">
        <v>9</v>
      </c>
      <c r="E100" s="1" t="s">
        <v>194</v>
      </c>
      <c r="G100" s="3" t="s">
        <v>453</v>
      </c>
      <c r="H100" s="1" t="s">
        <v>454</v>
      </c>
      <c r="I100" s="1" t="s">
        <v>63</v>
      </c>
      <c r="J100" s="1" t="s">
        <v>26</v>
      </c>
      <c r="K100" s="1" t="s">
        <v>57</v>
      </c>
      <c r="L100" s="1" t="s">
        <v>120</v>
      </c>
    </row>
    <row r="101" customFormat="false" ht="15.75" hidden="false" customHeight="false" outlineLevel="0" collapsed="false">
      <c r="A101" s="2" t="n">
        <v>43597.2969361111</v>
      </c>
      <c r="B101" s="1" t="s">
        <v>455</v>
      </c>
      <c r="C101" s="1" t="s">
        <v>178</v>
      </c>
      <c r="D101" s="1" t="n">
        <v>9</v>
      </c>
      <c r="E101" s="1" t="s">
        <v>456</v>
      </c>
      <c r="G101" s="3" t="s">
        <v>457</v>
      </c>
      <c r="H101" s="1" t="s">
        <v>458</v>
      </c>
      <c r="I101" s="1" t="s">
        <v>146</v>
      </c>
      <c r="J101" s="1" t="s">
        <v>70</v>
      </c>
      <c r="K101" s="1" t="s">
        <v>27</v>
      </c>
      <c r="L101" s="1" t="s">
        <v>99</v>
      </c>
    </row>
    <row r="102" customFormat="false" ht="15.75" hidden="false" customHeight="false" outlineLevel="0" collapsed="false">
      <c r="A102" s="2" t="n">
        <v>43597.3055989352</v>
      </c>
      <c r="B102" s="1" t="s">
        <v>459</v>
      </c>
      <c r="C102" s="1" t="s">
        <v>460</v>
      </c>
      <c r="D102" s="1" t="n">
        <v>9</v>
      </c>
      <c r="E102" s="1" t="s">
        <v>461</v>
      </c>
      <c r="G102" s="3" t="s">
        <v>462</v>
      </c>
      <c r="H102" s="1" t="s">
        <v>463</v>
      </c>
      <c r="I102" s="1" t="s">
        <v>17</v>
      </c>
      <c r="J102" s="1" t="s">
        <v>64</v>
      </c>
      <c r="K102" s="1" t="s">
        <v>57</v>
      </c>
      <c r="L102" s="1" t="s">
        <v>28</v>
      </c>
    </row>
    <row r="103" customFormat="false" ht="15.75" hidden="false" customHeight="false" outlineLevel="0" collapsed="false">
      <c r="A103" s="2" t="n">
        <v>43597.3585895949</v>
      </c>
      <c r="B103" s="1" t="s">
        <v>464</v>
      </c>
      <c r="C103" s="1" t="s">
        <v>465</v>
      </c>
      <c r="D103" s="1" t="n">
        <v>11</v>
      </c>
      <c r="E103" s="1" t="s">
        <v>466</v>
      </c>
      <c r="G103" s="3" t="s">
        <v>467</v>
      </c>
      <c r="H103" s="1" t="s">
        <v>468</v>
      </c>
      <c r="I103" s="1" t="s">
        <v>82</v>
      </c>
      <c r="J103" s="1" t="s">
        <v>98</v>
      </c>
      <c r="K103" s="1" t="s">
        <v>27</v>
      </c>
      <c r="L103" s="1" t="s">
        <v>28</v>
      </c>
    </row>
    <row r="104" customFormat="false" ht="15.75" hidden="false" customHeight="false" outlineLevel="0" collapsed="false">
      <c r="A104" s="2" t="n">
        <v>43597.3857480093</v>
      </c>
      <c r="B104" s="1" t="s">
        <v>469</v>
      </c>
      <c r="C104" s="1" t="s">
        <v>470</v>
      </c>
      <c r="D104" s="1" t="n">
        <v>7</v>
      </c>
      <c r="E104" s="1" t="s">
        <v>471</v>
      </c>
      <c r="G104" s="3" t="s">
        <v>472</v>
      </c>
      <c r="H104" s="1" t="s">
        <v>473</v>
      </c>
      <c r="I104" s="1" t="s">
        <v>152</v>
      </c>
      <c r="J104" s="1" t="s">
        <v>26</v>
      </c>
      <c r="K104" s="1" t="s">
        <v>35</v>
      </c>
      <c r="L104" s="1" t="s">
        <v>36</v>
      </c>
    </row>
    <row r="105" customFormat="false" ht="15.75" hidden="false" customHeight="false" outlineLevel="0" collapsed="false">
      <c r="A105" s="2" t="n">
        <v>43597.4355439236</v>
      </c>
      <c r="B105" s="1" t="s">
        <v>474</v>
      </c>
      <c r="C105" s="1" t="s">
        <v>350</v>
      </c>
      <c r="D105" s="1" t="n">
        <v>10</v>
      </c>
      <c r="E105" s="1" t="s">
        <v>309</v>
      </c>
      <c r="G105" s="3" t="s">
        <v>475</v>
      </c>
      <c r="H105" s="1" t="s">
        <v>476</v>
      </c>
      <c r="I105" s="1" t="s">
        <v>17</v>
      </c>
      <c r="J105" s="1" t="s">
        <v>26</v>
      </c>
      <c r="K105" s="1" t="s">
        <v>477</v>
      </c>
      <c r="L105" s="1" t="s">
        <v>50</v>
      </c>
    </row>
    <row r="106" customFormat="false" ht="15.75" hidden="false" customHeight="false" outlineLevel="0" collapsed="false">
      <c r="A106" s="2" t="n">
        <v>43597.4338415394</v>
      </c>
      <c r="B106" s="1" t="s">
        <v>478</v>
      </c>
      <c r="C106" s="1" t="s">
        <v>479</v>
      </c>
      <c r="D106" s="1" t="n">
        <v>8</v>
      </c>
      <c r="E106" s="1" t="s">
        <v>480</v>
      </c>
      <c r="G106" s="3" t="s">
        <v>481</v>
      </c>
      <c r="H106" s="1" t="s">
        <v>482</v>
      </c>
      <c r="I106" s="1" t="s">
        <v>41</v>
      </c>
      <c r="J106" s="1" t="s">
        <v>18</v>
      </c>
      <c r="K106" s="1" t="s">
        <v>49</v>
      </c>
      <c r="L106" s="1" t="s">
        <v>71</v>
      </c>
    </row>
    <row r="107" customFormat="false" ht="15.75" hidden="false" customHeight="false" outlineLevel="0" collapsed="false">
      <c r="A107" s="2" t="n">
        <v>43597.4342937732</v>
      </c>
      <c r="B107" s="1" t="s">
        <v>478</v>
      </c>
      <c r="C107" s="1" t="s">
        <v>479</v>
      </c>
      <c r="D107" s="1" t="n">
        <v>8</v>
      </c>
      <c r="E107" s="1" t="s">
        <v>480</v>
      </c>
      <c r="G107" s="3" t="s">
        <v>481</v>
      </c>
      <c r="H107" s="1" t="s">
        <v>482</v>
      </c>
      <c r="I107" s="1" t="s">
        <v>41</v>
      </c>
      <c r="J107" s="1" t="s">
        <v>18</v>
      </c>
      <c r="K107" s="1" t="s">
        <v>49</v>
      </c>
      <c r="L107" s="1" t="s">
        <v>71</v>
      </c>
    </row>
    <row r="108" customFormat="false" ht="15.75" hidden="false" customHeight="false" outlineLevel="0" collapsed="false">
      <c r="A108" s="2" t="n">
        <v>43597.4352446528</v>
      </c>
      <c r="B108" s="1" t="s">
        <v>483</v>
      </c>
      <c r="C108" s="1" t="s">
        <v>30</v>
      </c>
      <c r="D108" s="1" t="n">
        <v>10</v>
      </c>
      <c r="E108" s="1" t="s">
        <v>484</v>
      </c>
      <c r="G108" s="3" t="s">
        <v>485</v>
      </c>
      <c r="H108" s="1" t="s">
        <v>486</v>
      </c>
      <c r="I108" s="1" t="s">
        <v>17</v>
      </c>
      <c r="J108" s="1" t="s">
        <v>26</v>
      </c>
      <c r="K108" s="1" t="s">
        <v>477</v>
      </c>
      <c r="L108" s="1" t="s">
        <v>50</v>
      </c>
    </row>
    <row r="109" customFormat="false" ht="15.75" hidden="false" customHeight="false" outlineLevel="0" collapsed="false">
      <c r="A109" s="2" t="n">
        <v>43597.4371027083</v>
      </c>
      <c r="B109" s="1" t="s">
        <v>487</v>
      </c>
      <c r="C109" s="1" t="s">
        <v>435</v>
      </c>
      <c r="D109" s="1" t="n">
        <v>10</v>
      </c>
      <c r="E109" s="1" t="s">
        <v>488</v>
      </c>
      <c r="G109" s="3" t="s">
        <v>489</v>
      </c>
      <c r="H109" s="1" t="s">
        <v>490</v>
      </c>
      <c r="I109" s="1" t="s">
        <v>20</v>
      </c>
      <c r="J109" s="1" t="s">
        <v>130</v>
      </c>
      <c r="K109" s="1" t="s">
        <v>49</v>
      </c>
      <c r="L109" s="1" t="s">
        <v>120</v>
      </c>
    </row>
    <row r="110" customFormat="false" ht="15.75" hidden="false" customHeight="false" outlineLevel="0" collapsed="false">
      <c r="A110" s="2" t="n">
        <v>43597.4665739931</v>
      </c>
      <c r="B110" s="1" t="s">
        <v>491</v>
      </c>
      <c r="C110" s="1" t="s">
        <v>52</v>
      </c>
      <c r="D110" s="1" t="n">
        <v>8</v>
      </c>
      <c r="E110" s="1" t="s">
        <v>492</v>
      </c>
      <c r="G110" s="3" t="s">
        <v>493</v>
      </c>
      <c r="H110" s="1" t="s">
        <v>494</v>
      </c>
      <c r="I110" s="1" t="s">
        <v>41</v>
      </c>
      <c r="J110" s="1" t="s">
        <v>98</v>
      </c>
      <c r="K110" s="1" t="s">
        <v>49</v>
      </c>
      <c r="L110" s="1" t="s">
        <v>99</v>
      </c>
    </row>
    <row r="111" customFormat="false" ht="15.75" hidden="false" customHeight="false" outlineLevel="0" collapsed="false">
      <c r="A111" s="2" t="n">
        <v>43597.4705062037</v>
      </c>
      <c r="B111" s="1" t="s">
        <v>495</v>
      </c>
      <c r="C111" s="1" t="s">
        <v>30</v>
      </c>
      <c r="D111" s="1" t="n">
        <v>8</v>
      </c>
      <c r="E111" s="1" t="s">
        <v>492</v>
      </c>
      <c r="G111" s="3" t="s">
        <v>496</v>
      </c>
      <c r="H111" s="1" t="s">
        <v>497</v>
      </c>
      <c r="I111" s="1" t="s">
        <v>41</v>
      </c>
      <c r="J111" s="1" t="s">
        <v>98</v>
      </c>
      <c r="K111" s="1" t="s">
        <v>49</v>
      </c>
      <c r="L111" s="1" t="s">
        <v>99</v>
      </c>
    </row>
    <row r="112" customFormat="false" ht="15.75" hidden="false" customHeight="false" outlineLevel="0" collapsed="false">
      <c r="A112" s="2" t="n">
        <v>43597.5297047107</v>
      </c>
      <c r="B112" s="1" t="s">
        <v>498</v>
      </c>
      <c r="C112" s="1" t="s">
        <v>84</v>
      </c>
      <c r="D112" s="1" t="n">
        <v>9</v>
      </c>
      <c r="E112" s="1" t="s">
        <v>499</v>
      </c>
      <c r="G112" s="3" t="s">
        <v>500</v>
      </c>
      <c r="H112" s="1" t="s">
        <v>501</v>
      </c>
      <c r="I112" s="1" t="s">
        <v>152</v>
      </c>
      <c r="J112" s="1" t="s">
        <v>320</v>
      </c>
      <c r="K112" s="1" t="s">
        <v>115</v>
      </c>
      <c r="L112" s="1" t="s">
        <v>71</v>
      </c>
    </row>
    <row r="113" customFormat="false" ht="15.75" hidden="false" customHeight="false" outlineLevel="0" collapsed="false">
      <c r="A113" s="2" t="n">
        <v>43597.5455527199</v>
      </c>
      <c r="B113" s="1" t="s">
        <v>502</v>
      </c>
      <c r="C113" s="1" t="s">
        <v>117</v>
      </c>
      <c r="D113" s="1" t="n">
        <v>10</v>
      </c>
      <c r="E113" s="1" t="n">
        <v>117</v>
      </c>
      <c r="G113" s="3" t="s">
        <v>503</v>
      </c>
      <c r="H113" s="1" t="s">
        <v>504</v>
      </c>
      <c r="I113" s="1" t="s">
        <v>63</v>
      </c>
      <c r="J113" s="1" t="s">
        <v>26</v>
      </c>
      <c r="K113" s="1" t="s">
        <v>57</v>
      </c>
      <c r="L113" s="1" t="s">
        <v>20</v>
      </c>
    </row>
    <row r="114" customFormat="false" ht="15.75" hidden="false" customHeight="false" outlineLevel="0" collapsed="false">
      <c r="A114" s="2" t="n">
        <v>43597.5494715509</v>
      </c>
      <c r="B114" s="1" t="s">
        <v>505</v>
      </c>
      <c r="C114" s="1" t="s">
        <v>506</v>
      </c>
      <c r="D114" s="1" t="n">
        <v>7</v>
      </c>
      <c r="E114" s="1" t="s">
        <v>507</v>
      </c>
      <c r="G114" s="3" t="s">
        <v>508</v>
      </c>
      <c r="H114" s="1" t="s">
        <v>509</v>
      </c>
      <c r="I114" s="1" t="s">
        <v>152</v>
      </c>
      <c r="J114" s="1" t="s">
        <v>26</v>
      </c>
      <c r="K114" s="1" t="s">
        <v>115</v>
      </c>
      <c r="L114" s="1" t="s">
        <v>36</v>
      </c>
    </row>
    <row r="115" customFormat="false" ht="15.75" hidden="false" customHeight="false" outlineLevel="0" collapsed="false">
      <c r="A115" s="2" t="n">
        <v>43597.5518396296</v>
      </c>
      <c r="B115" s="1" t="s">
        <v>422</v>
      </c>
      <c r="C115" s="1" t="s">
        <v>138</v>
      </c>
      <c r="D115" s="1" t="n">
        <v>8</v>
      </c>
      <c r="E115" s="1" t="s">
        <v>423</v>
      </c>
      <c r="G115" s="3" t="s">
        <v>424</v>
      </c>
      <c r="H115" s="1" t="s">
        <v>425</v>
      </c>
      <c r="I115" s="1" t="s">
        <v>17</v>
      </c>
      <c r="J115" s="1" t="s">
        <v>26</v>
      </c>
      <c r="K115" s="1" t="s">
        <v>27</v>
      </c>
      <c r="L115" s="1" t="s">
        <v>28</v>
      </c>
    </row>
    <row r="116" customFormat="false" ht="15.75" hidden="false" customHeight="false" outlineLevel="0" collapsed="false">
      <c r="A116" s="2" t="n">
        <v>43597.5677015509</v>
      </c>
      <c r="B116" s="1" t="s">
        <v>510</v>
      </c>
      <c r="C116" s="1" t="s">
        <v>117</v>
      </c>
      <c r="D116" s="1" t="n">
        <v>9</v>
      </c>
      <c r="E116" s="1" t="s">
        <v>511</v>
      </c>
      <c r="G116" s="4" t="s">
        <v>512</v>
      </c>
      <c r="H116" s="1" t="s">
        <v>513</v>
      </c>
      <c r="I116" s="1" t="s">
        <v>17</v>
      </c>
      <c r="J116" s="1" t="s">
        <v>70</v>
      </c>
      <c r="K116" s="1" t="s">
        <v>35</v>
      </c>
      <c r="L116" s="1" t="s">
        <v>36</v>
      </c>
    </row>
    <row r="117" customFormat="false" ht="15.75" hidden="false" customHeight="false" outlineLevel="0" collapsed="false">
      <c r="A117" s="2" t="n">
        <v>43597.5797183565</v>
      </c>
      <c r="B117" s="1" t="s">
        <v>514</v>
      </c>
      <c r="C117" s="1" t="s">
        <v>322</v>
      </c>
      <c r="D117" s="1" t="n">
        <v>8</v>
      </c>
      <c r="E117" s="1" t="s">
        <v>515</v>
      </c>
      <c r="G117" s="3" t="s">
        <v>516</v>
      </c>
      <c r="H117" s="1" t="s">
        <v>517</v>
      </c>
      <c r="I117" s="1" t="s">
        <v>17</v>
      </c>
      <c r="J117" s="1" t="s">
        <v>18</v>
      </c>
      <c r="K117" s="1" t="s">
        <v>49</v>
      </c>
      <c r="L117" s="1" t="s">
        <v>36</v>
      </c>
    </row>
    <row r="118" customFormat="false" ht="15.75" hidden="false" customHeight="false" outlineLevel="0" collapsed="false">
      <c r="A118" s="2" t="n">
        <v>43597.6012077546</v>
      </c>
      <c r="B118" s="1" t="s">
        <v>518</v>
      </c>
      <c r="C118" s="1" t="s">
        <v>254</v>
      </c>
      <c r="D118" s="1" t="n">
        <v>10</v>
      </c>
      <c r="E118" s="1" t="s">
        <v>404</v>
      </c>
      <c r="F118" s="1" t="s">
        <v>387</v>
      </c>
      <c r="G118" s="1" t="s">
        <v>39</v>
      </c>
      <c r="H118" s="1" t="s">
        <v>519</v>
      </c>
      <c r="I118" s="1" t="s">
        <v>20</v>
      </c>
      <c r="J118" s="1" t="s">
        <v>26</v>
      </c>
      <c r="K118" s="1" t="s">
        <v>27</v>
      </c>
      <c r="L118" s="1" t="s">
        <v>120</v>
      </c>
    </row>
    <row r="119" customFormat="false" ht="15.75" hidden="false" customHeight="false" outlineLevel="0" collapsed="false">
      <c r="A119" s="2" t="n">
        <v>43597.6103484722</v>
      </c>
      <c r="B119" s="1" t="s">
        <v>520</v>
      </c>
      <c r="C119" s="1" t="s">
        <v>142</v>
      </c>
      <c r="D119" s="1" t="n">
        <v>9</v>
      </c>
      <c r="E119" s="1" t="n">
        <v>159</v>
      </c>
      <c r="G119" s="3" t="s">
        <v>521</v>
      </c>
      <c r="H119" s="1" t="s">
        <v>522</v>
      </c>
      <c r="I119" s="1" t="s">
        <v>63</v>
      </c>
      <c r="J119" s="1" t="s">
        <v>64</v>
      </c>
      <c r="K119" s="1" t="s">
        <v>27</v>
      </c>
      <c r="L119" s="1" t="s">
        <v>99</v>
      </c>
    </row>
    <row r="120" customFormat="false" ht="15.75" hidden="false" customHeight="false" outlineLevel="0" collapsed="false">
      <c r="A120" s="2" t="n">
        <v>43597.6516923958</v>
      </c>
      <c r="B120" s="1" t="s">
        <v>523</v>
      </c>
      <c r="C120" s="1" t="s">
        <v>427</v>
      </c>
      <c r="D120" s="1" t="n">
        <v>9</v>
      </c>
      <c r="E120" s="1" t="s">
        <v>524</v>
      </c>
      <c r="G120" s="3" t="s">
        <v>525</v>
      </c>
      <c r="H120" s="1" t="s">
        <v>526</v>
      </c>
      <c r="I120" s="1" t="s">
        <v>146</v>
      </c>
      <c r="J120" s="1" t="s">
        <v>130</v>
      </c>
      <c r="K120" s="1" t="s">
        <v>19</v>
      </c>
      <c r="L120" s="1" t="s">
        <v>43</v>
      </c>
    </row>
    <row r="121" customFormat="false" ht="15.75" hidden="false" customHeight="false" outlineLevel="0" collapsed="false">
      <c r="A121" s="2" t="n">
        <v>43597.6765973148</v>
      </c>
      <c r="B121" s="1" t="s">
        <v>527</v>
      </c>
      <c r="C121" s="1" t="s">
        <v>528</v>
      </c>
      <c r="D121" s="1" t="n">
        <v>9</v>
      </c>
      <c r="E121" s="1" t="n">
        <v>75</v>
      </c>
      <c r="F121" s="1" t="s">
        <v>529</v>
      </c>
      <c r="G121" s="3" t="s">
        <v>530</v>
      </c>
      <c r="H121" s="1" t="s">
        <v>531</v>
      </c>
      <c r="I121" s="1" t="s">
        <v>17</v>
      </c>
      <c r="J121" s="1" t="s">
        <v>26</v>
      </c>
      <c r="K121" s="1" t="s">
        <v>35</v>
      </c>
      <c r="L121" s="1" t="s">
        <v>36</v>
      </c>
    </row>
    <row r="122" customFormat="false" ht="15.75" hidden="false" customHeight="false" outlineLevel="0" collapsed="false">
      <c r="A122" s="2" t="n">
        <v>43597.6841971065</v>
      </c>
      <c r="B122" s="1" t="s">
        <v>532</v>
      </c>
      <c r="C122" s="1" t="s">
        <v>533</v>
      </c>
      <c r="D122" s="1" t="n">
        <v>8</v>
      </c>
      <c r="E122" s="1" t="n">
        <v>130</v>
      </c>
      <c r="G122" s="3" t="s">
        <v>534</v>
      </c>
      <c r="H122" s="1" t="s">
        <v>535</v>
      </c>
      <c r="I122" s="1" t="s">
        <v>20</v>
      </c>
      <c r="J122" s="1" t="s">
        <v>70</v>
      </c>
      <c r="K122" s="1" t="s">
        <v>20</v>
      </c>
      <c r="L122" s="1" t="s">
        <v>99</v>
      </c>
    </row>
    <row r="123" customFormat="false" ht="15.75" hidden="false" customHeight="false" outlineLevel="0" collapsed="false">
      <c r="A123" s="2" t="n">
        <v>43597.6970158102</v>
      </c>
      <c r="B123" s="1" t="s">
        <v>536</v>
      </c>
      <c r="C123" s="1" t="s">
        <v>322</v>
      </c>
      <c r="D123" s="1" t="n">
        <v>9</v>
      </c>
      <c r="E123" s="1" t="s">
        <v>404</v>
      </c>
      <c r="G123" s="3" t="s">
        <v>537</v>
      </c>
      <c r="H123" s="1" t="s">
        <v>538</v>
      </c>
      <c r="I123" s="1" t="s">
        <v>146</v>
      </c>
      <c r="J123" s="1" t="s">
        <v>130</v>
      </c>
      <c r="K123" s="1" t="s">
        <v>477</v>
      </c>
      <c r="L123" s="1" t="s">
        <v>71</v>
      </c>
    </row>
    <row r="124" customFormat="false" ht="15.75" hidden="false" customHeight="false" outlineLevel="0" collapsed="false">
      <c r="A124" s="2" t="n">
        <v>43597.7027067014</v>
      </c>
      <c r="B124" s="1" t="s">
        <v>536</v>
      </c>
      <c r="C124" s="1" t="s">
        <v>322</v>
      </c>
      <c r="D124" s="1" t="n">
        <v>9</v>
      </c>
      <c r="E124" s="1" t="s">
        <v>404</v>
      </c>
      <c r="G124" s="3" t="s">
        <v>537</v>
      </c>
      <c r="H124" s="1" t="s">
        <v>538</v>
      </c>
      <c r="I124" s="1" t="s">
        <v>146</v>
      </c>
      <c r="J124" s="1" t="s">
        <v>130</v>
      </c>
      <c r="K124" s="1" t="s">
        <v>477</v>
      </c>
      <c r="L124" s="1" t="s">
        <v>71</v>
      </c>
    </row>
    <row r="125" customFormat="false" ht="15.75" hidden="false" customHeight="false" outlineLevel="0" collapsed="false">
      <c r="A125" s="2" t="n">
        <v>43597.7096983565</v>
      </c>
      <c r="B125" s="1" t="s">
        <v>539</v>
      </c>
      <c r="C125" s="1" t="s">
        <v>540</v>
      </c>
      <c r="D125" s="1" t="n">
        <v>7</v>
      </c>
      <c r="E125" s="1" t="s">
        <v>391</v>
      </c>
      <c r="G125" s="3" t="s">
        <v>541</v>
      </c>
      <c r="H125" s="1" t="s">
        <v>542</v>
      </c>
      <c r="I125" s="1" t="s">
        <v>82</v>
      </c>
      <c r="J125" s="1" t="s">
        <v>64</v>
      </c>
      <c r="K125" s="1" t="s">
        <v>19</v>
      </c>
      <c r="L125" s="1" t="s">
        <v>36</v>
      </c>
    </row>
    <row r="126" customFormat="false" ht="15.75" hidden="false" customHeight="false" outlineLevel="0" collapsed="false">
      <c r="A126" s="2" t="n">
        <v>43597.7694657523</v>
      </c>
      <c r="B126" s="1" t="s">
        <v>543</v>
      </c>
      <c r="C126" s="1" t="s">
        <v>254</v>
      </c>
      <c r="D126" s="1" t="n">
        <v>10</v>
      </c>
      <c r="E126" s="1" t="s">
        <v>309</v>
      </c>
      <c r="G126" s="3" t="s">
        <v>544</v>
      </c>
      <c r="H126" s="1" t="s">
        <v>545</v>
      </c>
      <c r="I126" s="1" t="s">
        <v>63</v>
      </c>
      <c r="J126" s="1" t="s">
        <v>26</v>
      </c>
      <c r="K126" s="1" t="s">
        <v>35</v>
      </c>
      <c r="L126" s="1" t="s">
        <v>120</v>
      </c>
    </row>
    <row r="127" customFormat="false" ht="15.75" hidden="false" customHeight="false" outlineLevel="0" collapsed="false">
      <c r="A127" s="2" t="n">
        <v>43598.1128883681</v>
      </c>
      <c r="B127" s="1" t="s">
        <v>546</v>
      </c>
      <c r="C127" s="1" t="s">
        <v>460</v>
      </c>
      <c r="D127" s="1" t="n">
        <v>7</v>
      </c>
      <c r="E127" s="1" t="s">
        <v>391</v>
      </c>
      <c r="G127" s="3" t="s">
        <v>547</v>
      </c>
      <c r="H127" s="1" t="s">
        <v>548</v>
      </c>
      <c r="I127" s="1" t="s">
        <v>82</v>
      </c>
      <c r="J127" s="1" t="s">
        <v>70</v>
      </c>
      <c r="K127" s="1" t="s">
        <v>35</v>
      </c>
      <c r="L127" s="1" t="s">
        <v>28</v>
      </c>
    </row>
    <row r="128" customFormat="false" ht="15.75" hidden="false" customHeight="false" outlineLevel="0" collapsed="false">
      <c r="A128" s="2" t="n">
        <v>43598.1135159144</v>
      </c>
      <c r="B128" s="1" t="s">
        <v>546</v>
      </c>
      <c r="C128" s="1" t="s">
        <v>460</v>
      </c>
      <c r="D128" s="1" t="n">
        <v>7</v>
      </c>
      <c r="E128" s="1" t="s">
        <v>391</v>
      </c>
      <c r="G128" s="3" t="s">
        <v>547</v>
      </c>
      <c r="H128" s="1" t="s">
        <v>548</v>
      </c>
      <c r="I128" s="1" t="s">
        <v>82</v>
      </c>
      <c r="J128" s="1" t="s">
        <v>70</v>
      </c>
      <c r="K128" s="1" t="s">
        <v>27</v>
      </c>
      <c r="L128" s="1" t="s">
        <v>28</v>
      </c>
    </row>
    <row r="129" customFormat="false" ht="15.75" hidden="false" customHeight="false" outlineLevel="0" collapsed="false">
      <c r="A129" s="2" t="n">
        <v>43598.1870012963</v>
      </c>
      <c r="B129" s="1" t="s">
        <v>549</v>
      </c>
      <c r="C129" s="1" t="s">
        <v>275</v>
      </c>
      <c r="D129" s="1" t="n">
        <v>10</v>
      </c>
      <c r="E129" s="1" t="s">
        <v>550</v>
      </c>
      <c r="G129" s="3" t="s">
        <v>551</v>
      </c>
      <c r="H129" s="1" t="s">
        <v>552</v>
      </c>
      <c r="I129" s="1" t="s">
        <v>17</v>
      </c>
      <c r="J129" s="1" t="s">
        <v>26</v>
      </c>
      <c r="K129" s="1" t="s">
        <v>27</v>
      </c>
      <c r="L129" s="1" t="s">
        <v>99</v>
      </c>
    </row>
    <row r="130" customFormat="false" ht="15.75" hidden="false" customHeight="false" outlineLevel="0" collapsed="false">
      <c r="A130" s="2" t="n">
        <v>43598.2027047917</v>
      </c>
      <c r="B130" s="1" t="s">
        <v>553</v>
      </c>
      <c r="C130" s="1" t="s">
        <v>187</v>
      </c>
      <c r="D130" s="1" t="n">
        <v>7</v>
      </c>
      <c r="E130" s="1" t="s">
        <v>515</v>
      </c>
      <c r="F130" s="1" t="s">
        <v>554</v>
      </c>
      <c r="G130" s="3" t="s">
        <v>555</v>
      </c>
      <c r="H130" s="1" t="s">
        <v>556</v>
      </c>
      <c r="I130" s="1" t="s">
        <v>152</v>
      </c>
      <c r="J130" s="1" t="s">
        <v>48</v>
      </c>
      <c r="K130" s="1" t="s">
        <v>20</v>
      </c>
      <c r="L130" s="1" t="s">
        <v>20</v>
      </c>
    </row>
    <row r="131" customFormat="false" ht="15.75" hidden="false" customHeight="false" outlineLevel="0" collapsed="false">
      <c r="A131" s="2" t="n">
        <v>43598.2061639699</v>
      </c>
      <c r="B131" s="1" t="s">
        <v>557</v>
      </c>
      <c r="C131" s="1" t="s">
        <v>506</v>
      </c>
      <c r="D131" s="1" t="n">
        <v>8</v>
      </c>
      <c r="E131" s="1" t="s">
        <v>423</v>
      </c>
      <c r="G131" s="3" t="s">
        <v>558</v>
      </c>
      <c r="H131" s="1" t="s">
        <v>559</v>
      </c>
      <c r="I131" s="1" t="s">
        <v>20</v>
      </c>
      <c r="J131" s="1" t="s">
        <v>26</v>
      </c>
      <c r="K131" s="1" t="s">
        <v>20</v>
      </c>
      <c r="L131" s="1" t="s">
        <v>20</v>
      </c>
    </row>
    <row r="132" customFormat="false" ht="15.75" hidden="false" customHeight="false" outlineLevel="0" collapsed="false">
      <c r="A132" s="2" t="n">
        <v>43598.216451875</v>
      </c>
      <c r="B132" s="1" t="s">
        <v>560</v>
      </c>
      <c r="C132" s="1" t="s">
        <v>200</v>
      </c>
      <c r="D132" s="1" t="n">
        <v>9</v>
      </c>
      <c r="E132" s="1" t="s">
        <v>561</v>
      </c>
      <c r="G132" s="1" t="s">
        <v>562</v>
      </c>
      <c r="H132" s="1" t="s">
        <v>563</v>
      </c>
      <c r="I132" s="1" t="s">
        <v>63</v>
      </c>
      <c r="J132" s="1" t="s">
        <v>18</v>
      </c>
      <c r="K132" s="1" t="s">
        <v>20</v>
      </c>
      <c r="L132" s="1" t="s">
        <v>43</v>
      </c>
    </row>
    <row r="133" customFormat="false" ht="15.75" hidden="false" customHeight="false" outlineLevel="0" collapsed="false">
      <c r="A133" s="2" t="n">
        <v>43598.2655257407</v>
      </c>
      <c r="B133" s="1" t="s">
        <v>564</v>
      </c>
      <c r="C133" s="1" t="s">
        <v>565</v>
      </c>
      <c r="D133" s="1" t="n">
        <v>9</v>
      </c>
      <c r="E133" s="1" t="s">
        <v>143</v>
      </c>
      <c r="G133" s="3" t="s">
        <v>566</v>
      </c>
      <c r="H133" s="1" t="s">
        <v>567</v>
      </c>
      <c r="I133" s="1" t="s">
        <v>146</v>
      </c>
      <c r="J133" s="1" t="s">
        <v>130</v>
      </c>
      <c r="K133" s="1" t="s">
        <v>19</v>
      </c>
      <c r="L133" s="1" t="s">
        <v>20</v>
      </c>
    </row>
    <row r="134" customFormat="false" ht="15.75" hidden="false" customHeight="false" outlineLevel="0" collapsed="false">
      <c r="A134" s="2" t="n">
        <v>43598.2707503472</v>
      </c>
      <c r="B134" s="1" t="s">
        <v>568</v>
      </c>
      <c r="C134" s="1" t="s">
        <v>117</v>
      </c>
      <c r="D134" s="1" t="n">
        <v>10</v>
      </c>
      <c r="E134" s="1" t="s">
        <v>569</v>
      </c>
      <c r="G134" s="3" t="s">
        <v>570</v>
      </c>
      <c r="H134" s="1" t="s">
        <v>571</v>
      </c>
      <c r="I134" s="1" t="s">
        <v>17</v>
      </c>
      <c r="J134" s="1" t="s">
        <v>26</v>
      </c>
      <c r="K134" s="1" t="s">
        <v>57</v>
      </c>
      <c r="L134" s="1" t="s">
        <v>99</v>
      </c>
    </row>
    <row r="135" customFormat="false" ht="15.75" hidden="false" customHeight="false" outlineLevel="0" collapsed="false">
      <c r="A135" s="2" t="n">
        <v>43598.2766578125</v>
      </c>
      <c r="B135" s="1" t="s">
        <v>572</v>
      </c>
      <c r="C135" s="1" t="s">
        <v>465</v>
      </c>
      <c r="D135" s="1" t="n">
        <v>8</v>
      </c>
      <c r="E135" s="1" t="s">
        <v>366</v>
      </c>
      <c r="G135" s="1" t="s">
        <v>39</v>
      </c>
      <c r="H135" s="1" t="s">
        <v>573</v>
      </c>
      <c r="I135" s="1" t="s">
        <v>82</v>
      </c>
      <c r="J135" s="1" t="s">
        <v>70</v>
      </c>
      <c r="K135" s="1" t="s">
        <v>35</v>
      </c>
      <c r="L135" s="1" t="s">
        <v>99</v>
      </c>
    </row>
    <row r="136" customFormat="false" ht="15.75" hidden="false" customHeight="false" outlineLevel="0" collapsed="false">
      <c r="A136" s="2" t="n">
        <v>43598.3412225463</v>
      </c>
      <c r="B136" s="1" t="s">
        <v>574</v>
      </c>
      <c r="C136" s="1" t="s">
        <v>575</v>
      </c>
      <c r="D136" s="1" t="n">
        <v>8</v>
      </c>
      <c r="E136" s="1" t="s">
        <v>576</v>
      </c>
      <c r="G136" s="3" t="s">
        <v>577</v>
      </c>
      <c r="H136" s="1" t="s">
        <v>578</v>
      </c>
      <c r="I136" s="1" t="s">
        <v>82</v>
      </c>
      <c r="J136" s="1" t="s">
        <v>18</v>
      </c>
      <c r="K136" s="1" t="s">
        <v>27</v>
      </c>
      <c r="L136" s="1" t="s">
        <v>71</v>
      </c>
    </row>
    <row r="137" customFormat="false" ht="15.75" hidden="false" customHeight="false" outlineLevel="0" collapsed="false">
      <c r="A137" s="2" t="n">
        <v>43598.3719916204</v>
      </c>
      <c r="B137" s="1" t="s">
        <v>579</v>
      </c>
      <c r="C137" s="1" t="s">
        <v>187</v>
      </c>
      <c r="D137" s="1" t="n">
        <v>9</v>
      </c>
      <c r="E137" s="1" t="n">
        <v>117</v>
      </c>
      <c r="G137" s="3" t="s">
        <v>580</v>
      </c>
      <c r="H137" s="1" t="s">
        <v>581</v>
      </c>
      <c r="I137" s="1" t="s">
        <v>146</v>
      </c>
      <c r="J137" s="1" t="s">
        <v>130</v>
      </c>
      <c r="K137" s="1" t="s">
        <v>49</v>
      </c>
      <c r="L137" s="1" t="s">
        <v>71</v>
      </c>
    </row>
    <row r="138" customFormat="false" ht="15.75" hidden="false" customHeight="false" outlineLevel="0" collapsed="false">
      <c r="A138" s="2" t="n">
        <v>43598.382046956</v>
      </c>
      <c r="B138" s="1" t="s">
        <v>582</v>
      </c>
      <c r="C138" s="1" t="s">
        <v>326</v>
      </c>
      <c r="D138" s="1" t="n">
        <v>8</v>
      </c>
      <c r="E138" s="1" t="s">
        <v>159</v>
      </c>
      <c r="G138" s="3" t="s">
        <v>583</v>
      </c>
      <c r="H138" s="1" t="s">
        <v>584</v>
      </c>
      <c r="I138" s="1" t="s">
        <v>63</v>
      </c>
      <c r="J138" s="1" t="s">
        <v>26</v>
      </c>
      <c r="K138" s="1" t="s">
        <v>20</v>
      </c>
      <c r="L138" s="1" t="s">
        <v>20</v>
      </c>
    </row>
    <row r="139" customFormat="false" ht="15.75" hidden="false" customHeight="false" outlineLevel="0" collapsed="false">
      <c r="A139" s="2" t="n">
        <v>43598.4570169907</v>
      </c>
      <c r="B139" s="1" t="s">
        <v>585</v>
      </c>
      <c r="C139" s="1" t="s">
        <v>586</v>
      </c>
      <c r="D139" s="1" t="n">
        <v>8</v>
      </c>
      <c r="E139" s="1" t="s">
        <v>587</v>
      </c>
      <c r="F139" s="1" t="s">
        <v>588</v>
      </c>
      <c r="G139" s="3" t="s">
        <v>589</v>
      </c>
      <c r="H139" s="1" t="s">
        <v>590</v>
      </c>
      <c r="I139" s="1" t="s">
        <v>152</v>
      </c>
      <c r="J139" s="1" t="s">
        <v>26</v>
      </c>
      <c r="K139" s="1" t="s">
        <v>35</v>
      </c>
      <c r="L139" s="1" t="s">
        <v>50</v>
      </c>
    </row>
    <row r="140" customFormat="false" ht="15.75" hidden="false" customHeight="false" outlineLevel="0" collapsed="false">
      <c r="A140" s="2" t="n">
        <v>43598.462855</v>
      </c>
      <c r="B140" s="1" t="s">
        <v>591</v>
      </c>
      <c r="C140" s="1" t="s">
        <v>586</v>
      </c>
      <c r="D140" s="1" t="n">
        <v>8</v>
      </c>
      <c r="E140" s="1" t="s">
        <v>587</v>
      </c>
      <c r="F140" s="1" t="s">
        <v>588</v>
      </c>
      <c r="G140" s="3" t="s">
        <v>589</v>
      </c>
      <c r="H140" s="1" t="s">
        <v>590</v>
      </c>
      <c r="I140" s="1" t="s">
        <v>152</v>
      </c>
      <c r="J140" s="1" t="s">
        <v>26</v>
      </c>
      <c r="K140" s="1" t="s">
        <v>35</v>
      </c>
      <c r="L140" s="1" t="s">
        <v>50</v>
      </c>
    </row>
    <row r="141" customFormat="false" ht="15.75" hidden="false" customHeight="false" outlineLevel="0" collapsed="false">
      <c r="A141" s="2" t="n">
        <v>43598.5263195255</v>
      </c>
      <c r="B141" s="1" t="s">
        <v>592</v>
      </c>
      <c r="C141" s="1" t="s">
        <v>326</v>
      </c>
      <c r="D141" s="1" t="n">
        <v>10</v>
      </c>
      <c r="E141" s="1" t="s">
        <v>309</v>
      </c>
      <c r="G141" s="3" t="s">
        <v>593</v>
      </c>
      <c r="H141" s="1" t="s">
        <v>594</v>
      </c>
      <c r="I141" s="1" t="s">
        <v>152</v>
      </c>
      <c r="J141" s="1" t="s">
        <v>130</v>
      </c>
      <c r="K141" s="1" t="s">
        <v>49</v>
      </c>
      <c r="L141" s="1" t="s">
        <v>99</v>
      </c>
    </row>
    <row r="142" customFormat="false" ht="15.75" hidden="false" customHeight="false" outlineLevel="0" collapsed="false">
      <c r="A142" s="2" t="n">
        <v>43598.5462109144</v>
      </c>
      <c r="B142" s="1" t="s">
        <v>592</v>
      </c>
      <c r="C142" s="1" t="s">
        <v>326</v>
      </c>
      <c r="D142" s="1" t="n">
        <v>10</v>
      </c>
      <c r="E142" s="1" t="s">
        <v>309</v>
      </c>
      <c r="G142" s="3" t="s">
        <v>593</v>
      </c>
      <c r="H142" s="1" t="s">
        <v>594</v>
      </c>
      <c r="I142" s="1" t="s">
        <v>152</v>
      </c>
      <c r="J142" s="1" t="s">
        <v>130</v>
      </c>
      <c r="K142" s="1" t="s">
        <v>49</v>
      </c>
      <c r="L142" s="1" t="s">
        <v>99</v>
      </c>
    </row>
    <row r="143" customFormat="false" ht="15.75" hidden="false" customHeight="false" outlineLevel="0" collapsed="false">
      <c r="A143" s="2" t="n">
        <v>43598.5652813657</v>
      </c>
      <c r="B143" s="1" t="s">
        <v>595</v>
      </c>
      <c r="C143" s="1" t="s">
        <v>596</v>
      </c>
      <c r="D143" s="1" t="n">
        <v>9</v>
      </c>
      <c r="E143" s="1" t="s">
        <v>123</v>
      </c>
      <c r="G143" s="3" t="s">
        <v>597</v>
      </c>
      <c r="H143" s="1" t="s">
        <v>598</v>
      </c>
      <c r="I143" s="1" t="s">
        <v>63</v>
      </c>
      <c r="J143" s="1" t="s">
        <v>26</v>
      </c>
      <c r="K143" s="1" t="s">
        <v>477</v>
      </c>
      <c r="L143" s="1" t="s">
        <v>599</v>
      </c>
    </row>
    <row r="144" customFormat="false" ht="15.75" hidden="false" customHeight="false" outlineLevel="0" collapsed="false">
      <c r="A144" s="2" t="n">
        <v>43598.5744978588</v>
      </c>
      <c r="B144" s="1" t="s">
        <v>600</v>
      </c>
      <c r="C144" s="1" t="s">
        <v>601</v>
      </c>
      <c r="D144" s="1" t="n">
        <v>8</v>
      </c>
      <c r="E144" s="1" t="s">
        <v>587</v>
      </c>
      <c r="F144" s="1" t="s">
        <v>602</v>
      </c>
      <c r="G144" s="3" t="s">
        <v>603</v>
      </c>
      <c r="H144" s="1" t="s">
        <v>604</v>
      </c>
      <c r="I144" s="1" t="s">
        <v>146</v>
      </c>
      <c r="J144" s="1" t="s">
        <v>26</v>
      </c>
      <c r="K144" s="1" t="s">
        <v>35</v>
      </c>
      <c r="L144" s="1" t="s">
        <v>71</v>
      </c>
    </row>
    <row r="145" customFormat="false" ht="15.75" hidden="false" customHeight="false" outlineLevel="0" collapsed="false">
      <c r="A145" s="2" t="n">
        <v>43598.5965546759</v>
      </c>
      <c r="B145" s="1" t="s">
        <v>605</v>
      </c>
      <c r="C145" s="1" t="s">
        <v>606</v>
      </c>
      <c r="D145" s="1" t="n">
        <v>10</v>
      </c>
      <c r="E145" s="1" t="s">
        <v>607</v>
      </c>
      <c r="G145" s="3" t="s">
        <v>608</v>
      </c>
      <c r="H145" s="1" t="s">
        <v>609</v>
      </c>
      <c r="I145" s="1" t="s">
        <v>146</v>
      </c>
      <c r="J145" s="1" t="s">
        <v>48</v>
      </c>
      <c r="K145" s="1" t="s">
        <v>115</v>
      </c>
      <c r="L145" s="1" t="s">
        <v>71</v>
      </c>
    </row>
    <row r="146" customFormat="false" ht="15.75" hidden="false" customHeight="false" outlineLevel="0" collapsed="false">
      <c r="A146" s="2" t="n">
        <v>43598.6562340509</v>
      </c>
      <c r="B146" s="1" t="s">
        <v>610</v>
      </c>
      <c r="C146" s="1" t="s">
        <v>193</v>
      </c>
      <c r="D146" s="1" t="n">
        <v>7</v>
      </c>
      <c r="E146" s="1" t="s">
        <v>231</v>
      </c>
      <c r="G146" s="3" t="s">
        <v>611</v>
      </c>
      <c r="H146" s="1" t="s">
        <v>612</v>
      </c>
      <c r="I146" s="1" t="s">
        <v>82</v>
      </c>
      <c r="J146" s="1" t="s">
        <v>70</v>
      </c>
      <c r="K146" s="1" t="s">
        <v>115</v>
      </c>
      <c r="L146" s="1" t="s">
        <v>20</v>
      </c>
    </row>
    <row r="147" customFormat="false" ht="15.75" hidden="false" customHeight="false" outlineLevel="0" collapsed="false">
      <c r="A147" s="2" t="n">
        <v>43598.6592248843</v>
      </c>
      <c r="B147" s="1" t="s">
        <v>610</v>
      </c>
      <c r="C147" s="1" t="s">
        <v>193</v>
      </c>
      <c r="D147" s="1" t="n">
        <v>7</v>
      </c>
      <c r="E147" s="1" t="s">
        <v>231</v>
      </c>
      <c r="G147" s="3" t="s">
        <v>611</v>
      </c>
      <c r="H147" s="1" t="s">
        <v>612</v>
      </c>
      <c r="I147" s="1" t="s">
        <v>82</v>
      </c>
      <c r="J147" s="1" t="s">
        <v>70</v>
      </c>
      <c r="K147" s="1" t="s">
        <v>115</v>
      </c>
      <c r="L147" s="1" t="s">
        <v>599</v>
      </c>
    </row>
    <row r="148" customFormat="false" ht="15.75" hidden="false" customHeight="false" outlineLevel="0" collapsed="false">
      <c r="A148" s="2" t="n">
        <v>43598.6864558333</v>
      </c>
      <c r="B148" s="1" t="s">
        <v>613</v>
      </c>
      <c r="C148" s="1" t="s">
        <v>614</v>
      </c>
      <c r="D148" s="1" t="n">
        <v>8</v>
      </c>
      <c r="E148" s="1" t="s">
        <v>194</v>
      </c>
      <c r="G148" s="3" t="s">
        <v>615</v>
      </c>
      <c r="H148" s="1" t="s">
        <v>616</v>
      </c>
      <c r="I148" s="1" t="s">
        <v>17</v>
      </c>
      <c r="J148" s="1" t="s">
        <v>26</v>
      </c>
      <c r="K148" s="1" t="s">
        <v>35</v>
      </c>
      <c r="L148" s="1" t="s">
        <v>120</v>
      </c>
    </row>
    <row r="149" customFormat="false" ht="15.75" hidden="false" customHeight="false" outlineLevel="0" collapsed="false">
      <c r="A149" s="2" t="n">
        <v>43598.775264375</v>
      </c>
      <c r="B149" s="1" t="s">
        <v>617</v>
      </c>
      <c r="C149" s="1" t="s">
        <v>618</v>
      </c>
      <c r="D149" s="1" t="n">
        <v>9</v>
      </c>
      <c r="E149" s="1" t="s">
        <v>231</v>
      </c>
      <c r="G149" s="1" t="s">
        <v>39</v>
      </c>
      <c r="H149" s="1" t="s">
        <v>619</v>
      </c>
      <c r="I149" s="1" t="s">
        <v>41</v>
      </c>
      <c r="J149" s="1" t="s">
        <v>34</v>
      </c>
      <c r="K149" s="1" t="s">
        <v>477</v>
      </c>
      <c r="L149" s="1" t="s">
        <v>71</v>
      </c>
    </row>
    <row r="150" customFormat="false" ht="15.75" hidden="false" customHeight="false" outlineLevel="0" collapsed="false">
      <c r="A150" s="2" t="n">
        <v>43599.4301253819</v>
      </c>
      <c r="B150" s="1" t="s">
        <v>620</v>
      </c>
      <c r="C150" s="1" t="s">
        <v>621</v>
      </c>
      <c r="D150" s="1" t="n">
        <v>10</v>
      </c>
      <c r="E150" s="1" t="s">
        <v>194</v>
      </c>
      <c r="G150" s="3" t="s">
        <v>622</v>
      </c>
      <c r="H150" s="1" t="s">
        <v>623</v>
      </c>
      <c r="I150" s="1" t="s">
        <v>41</v>
      </c>
      <c r="J150" s="1" t="s">
        <v>18</v>
      </c>
      <c r="K150" s="1" t="s">
        <v>49</v>
      </c>
      <c r="L150" s="1" t="s">
        <v>88</v>
      </c>
    </row>
    <row r="151" customFormat="false" ht="15.75" hidden="false" customHeight="false" outlineLevel="0" collapsed="false">
      <c r="A151" s="2" t="n">
        <v>43599.5135528241</v>
      </c>
      <c r="B151" s="1" t="s">
        <v>624</v>
      </c>
      <c r="C151" s="1" t="s">
        <v>187</v>
      </c>
      <c r="D151" s="1" t="n">
        <v>9</v>
      </c>
      <c r="E151" s="1" t="s">
        <v>309</v>
      </c>
      <c r="G151" s="3" t="s">
        <v>625</v>
      </c>
      <c r="H151" s="1" t="s">
        <v>626</v>
      </c>
      <c r="I151" s="1" t="s">
        <v>146</v>
      </c>
      <c r="J151" s="1" t="s">
        <v>130</v>
      </c>
      <c r="K151" s="1" t="s">
        <v>19</v>
      </c>
      <c r="L151" s="1" t="s">
        <v>71</v>
      </c>
    </row>
    <row r="152" customFormat="false" ht="15.75" hidden="false" customHeight="false" outlineLevel="0" collapsed="false">
      <c r="A152" s="2" t="n">
        <v>43599.5645561111</v>
      </c>
      <c r="B152" s="1" t="s">
        <v>627</v>
      </c>
      <c r="C152" s="1" t="s">
        <v>628</v>
      </c>
      <c r="D152" s="1" t="n">
        <v>9</v>
      </c>
      <c r="E152" s="1" t="s">
        <v>436</v>
      </c>
      <c r="G152" s="3" t="s">
        <v>629</v>
      </c>
      <c r="H152" s="1" t="s">
        <v>630</v>
      </c>
      <c r="I152" s="1" t="s">
        <v>63</v>
      </c>
      <c r="J152" s="1" t="s">
        <v>70</v>
      </c>
      <c r="K152" s="1" t="s">
        <v>35</v>
      </c>
      <c r="L152" s="1" t="s">
        <v>99</v>
      </c>
    </row>
    <row r="153" customFormat="false" ht="15.75" hidden="false" customHeight="false" outlineLevel="0" collapsed="false">
      <c r="A153" s="2" t="n">
        <v>43599.5742320949</v>
      </c>
      <c r="B153" s="1" t="s">
        <v>631</v>
      </c>
      <c r="C153" s="1" t="s">
        <v>30</v>
      </c>
      <c r="D153" s="1" t="n">
        <v>8</v>
      </c>
      <c r="E153" s="1" t="s">
        <v>123</v>
      </c>
      <c r="F153" s="1" t="s">
        <v>632</v>
      </c>
      <c r="G153" s="3" t="s">
        <v>633</v>
      </c>
      <c r="H153" s="1" t="s">
        <v>634</v>
      </c>
      <c r="I153" s="1" t="s">
        <v>41</v>
      </c>
      <c r="J153" s="1" t="s">
        <v>18</v>
      </c>
      <c r="K153" s="1" t="s">
        <v>115</v>
      </c>
      <c r="L153" s="1" t="s">
        <v>99</v>
      </c>
    </row>
    <row r="154" customFormat="false" ht="15.75" hidden="false" customHeight="false" outlineLevel="0" collapsed="false">
      <c r="A154" s="2" t="n">
        <v>43599.5793519097</v>
      </c>
      <c r="B154" s="1" t="s">
        <v>635</v>
      </c>
      <c r="C154" s="1" t="s">
        <v>30</v>
      </c>
      <c r="D154" s="1" t="n">
        <v>9</v>
      </c>
      <c r="E154" s="1" t="n">
        <v>117</v>
      </c>
      <c r="G154" s="3" t="s">
        <v>636</v>
      </c>
      <c r="H154" s="1" t="s">
        <v>637</v>
      </c>
      <c r="I154" s="1" t="s">
        <v>41</v>
      </c>
      <c r="J154" s="1" t="s">
        <v>18</v>
      </c>
      <c r="K154" s="1" t="s">
        <v>49</v>
      </c>
      <c r="L154" s="1" t="s">
        <v>71</v>
      </c>
    </row>
    <row r="155" customFormat="false" ht="15.75" hidden="false" customHeight="false" outlineLevel="0" collapsed="false">
      <c r="A155" s="2" t="n">
        <v>43599.5870618403</v>
      </c>
      <c r="B155" s="1" t="s">
        <v>638</v>
      </c>
      <c r="C155" s="1" t="s">
        <v>639</v>
      </c>
      <c r="D155" s="1" t="n">
        <v>7</v>
      </c>
      <c r="E155" s="1" t="s">
        <v>123</v>
      </c>
      <c r="G155" s="3" t="s">
        <v>640</v>
      </c>
      <c r="H155" s="1" t="s">
        <v>641</v>
      </c>
      <c r="I155" s="1" t="s">
        <v>152</v>
      </c>
      <c r="J155" s="1" t="s">
        <v>48</v>
      </c>
      <c r="K155" s="1" t="s">
        <v>477</v>
      </c>
      <c r="L155" s="1" t="s">
        <v>599</v>
      </c>
    </row>
    <row r="156" customFormat="false" ht="15.75" hidden="false" customHeight="false" outlineLevel="0" collapsed="false">
      <c r="A156" s="2" t="n">
        <v>43599.5889128704</v>
      </c>
      <c r="B156" s="1" t="s">
        <v>638</v>
      </c>
      <c r="C156" s="1" t="s">
        <v>639</v>
      </c>
      <c r="D156" s="1" t="n">
        <v>7</v>
      </c>
      <c r="E156" s="1" t="s">
        <v>123</v>
      </c>
      <c r="G156" s="3" t="s">
        <v>640</v>
      </c>
      <c r="H156" s="1" t="s">
        <v>641</v>
      </c>
      <c r="I156" s="1" t="s">
        <v>152</v>
      </c>
      <c r="J156" s="1" t="s">
        <v>48</v>
      </c>
      <c r="K156" s="1" t="s">
        <v>477</v>
      </c>
      <c r="L156" s="1" t="s">
        <v>599</v>
      </c>
    </row>
    <row r="157" customFormat="false" ht="15.75" hidden="false" customHeight="false" outlineLevel="0" collapsed="false">
      <c r="A157" s="2" t="n">
        <v>43599.5889698495</v>
      </c>
      <c r="B157" s="1" t="s">
        <v>638</v>
      </c>
      <c r="C157" s="1" t="s">
        <v>639</v>
      </c>
      <c r="D157" s="1" t="n">
        <v>7</v>
      </c>
      <c r="E157" s="1" t="s">
        <v>123</v>
      </c>
      <c r="G157" s="3" t="s">
        <v>640</v>
      </c>
      <c r="H157" s="1" t="s">
        <v>641</v>
      </c>
      <c r="I157" s="1" t="s">
        <v>152</v>
      </c>
      <c r="J157" s="1" t="s">
        <v>48</v>
      </c>
      <c r="K157" s="1" t="s">
        <v>477</v>
      </c>
      <c r="L157" s="1" t="s">
        <v>599</v>
      </c>
    </row>
    <row r="158" customFormat="false" ht="15.75" hidden="false" customHeight="false" outlineLevel="0" collapsed="false">
      <c r="A158" s="2" t="n">
        <v>43599.6062822685</v>
      </c>
      <c r="B158" s="1" t="s">
        <v>642</v>
      </c>
      <c r="C158" s="1" t="s">
        <v>427</v>
      </c>
      <c r="D158" s="1" t="n">
        <v>7</v>
      </c>
      <c r="E158" s="1" t="n">
        <v>117</v>
      </c>
      <c r="G158" s="3" t="s">
        <v>643</v>
      </c>
      <c r="H158" s="1" t="s">
        <v>644</v>
      </c>
      <c r="I158" s="1" t="s">
        <v>63</v>
      </c>
      <c r="J158" s="1" t="s">
        <v>70</v>
      </c>
      <c r="K158" s="1" t="s">
        <v>35</v>
      </c>
      <c r="L158" s="1" t="s">
        <v>50</v>
      </c>
    </row>
    <row r="159" customFormat="false" ht="15.75" hidden="false" customHeight="false" outlineLevel="0" collapsed="false">
      <c r="A159" s="2" t="n">
        <v>43599.6007466088</v>
      </c>
      <c r="B159" s="1" t="s">
        <v>645</v>
      </c>
      <c r="C159" s="1" t="s">
        <v>646</v>
      </c>
      <c r="D159" s="1" t="n">
        <v>9</v>
      </c>
      <c r="E159" s="1" t="s">
        <v>309</v>
      </c>
      <c r="G159" s="3" t="s">
        <v>647</v>
      </c>
      <c r="H159" s="1" t="s">
        <v>648</v>
      </c>
      <c r="I159" s="1" t="s">
        <v>63</v>
      </c>
      <c r="J159" s="1" t="s">
        <v>70</v>
      </c>
      <c r="K159" s="1" t="s">
        <v>35</v>
      </c>
      <c r="L159" s="1" t="s">
        <v>120</v>
      </c>
    </row>
    <row r="160" customFormat="false" ht="15.75" hidden="false" customHeight="false" outlineLevel="0" collapsed="false">
      <c r="A160" s="2" t="n">
        <v>43599.6088494444</v>
      </c>
      <c r="B160" s="1" t="s">
        <v>649</v>
      </c>
      <c r="C160" s="1" t="s">
        <v>200</v>
      </c>
      <c r="D160" s="1" t="n">
        <v>9</v>
      </c>
      <c r="E160" s="1" t="s">
        <v>650</v>
      </c>
      <c r="G160" s="3" t="s">
        <v>651</v>
      </c>
      <c r="H160" s="1" t="s">
        <v>652</v>
      </c>
      <c r="I160" s="1" t="s">
        <v>82</v>
      </c>
      <c r="J160" s="1" t="s">
        <v>70</v>
      </c>
      <c r="K160" s="1" t="s">
        <v>20</v>
      </c>
      <c r="L160" s="1" t="s">
        <v>20</v>
      </c>
    </row>
    <row r="161" customFormat="false" ht="15.75" hidden="false" customHeight="false" outlineLevel="0" collapsed="false">
      <c r="A161" s="2" t="n">
        <v>43599.6365222222</v>
      </c>
      <c r="B161" s="1" t="s">
        <v>653</v>
      </c>
      <c r="C161" s="1" t="s">
        <v>565</v>
      </c>
      <c r="D161" s="1" t="n">
        <v>9</v>
      </c>
      <c r="E161" s="1" t="n">
        <v>117</v>
      </c>
      <c r="G161" s="3" t="s">
        <v>654</v>
      </c>
      <c r="H161" s="1" t="s">
        <v>655</v>
      </c>
      <c r="I161" s="1" t="s">
        <v>63</v>
      </c>
      <c r="J161" s="1" t="s">
        <v>18</v>
      </c>
      <c r="K161" s="1" t="s">
        <v>20</v>
      </c>
      <c r="L161" s="1" t="s">
        <v>20</v>
      </c>
    </row>
    <row r="162" customFormat="false" ht="15.75" hidden="false" customHeight="false" outlineLevel="0" collapsed="false">
      <c r="A162" s="2" t="n">
        <v>43599.7064791898</v>
      </c>
      <c r="B162" s="1" t="s">
        <v>656</v>
      </c>
      <c r="C162" s="1" t="s">
        <v>657</v>
      </c>
      <c r="D162" s="1" t="n">
        <v>9</v>
      </c>
      <c r="E162" s="1" t="n">
        <v>117</v>
      </c>
      <c r="G162" s="3" t="s">
        <v>658</v>
      </c>
      <c r="H162" s="1" t="s">
        <v>659</v>
      </c>
      <c r="I162" s="1" t="s">
        <v>302</v>
      </c>
      <c r="J162" s="1" t="s">
        <v>130</v>
      </c>
      <c r="K162" s="1" t="s">
        <v>19</v>
      </c>
      <c r="L162" s="1" t="s">
        <v>88</v>
      </c>
    </row>
    <row r="163" customFormat="false" ht="15.75" hidden="false" customHeight="false" outlineLevel="0" collapsed="false">
      <c r="A163" s="2" t="n">
        <v>43599.8153039931</v>
      </c>
      <c r="B163" s="1" t="s">
        <v>645</v>
      </c>
      <c r="C163" s="1" t="s">
        <v>646</v>
      </c>
      <c r="D163" s="1" t="n">
        <v>9</v>
      </c>
      <c r="E163" s="1" t="s">
        <v>309</v>
      </c>
      <c r="G163" s="3" t="s">
        <v>647</v>
      </c>
      <c r="H163" s="1" t="s">
        <v>648</v>
      </c>
      <c r="I163" s="1" t="s">
        <v>63</v>
      </c>
      <c r="J163" s="1" t="s">
        <v>70</v>
      </c>
      <c r="K163" s="1" t="s">
        <v>35</v>
      </c>
      <c r="L163" s="1" t="s">
        <v>120</v>
      </c>
    </row>
    <row r="164" customFormat="false" ht="15.75" hidden="false" customHeight="false" outlineLevel="0" collapsed="false">
      <c r="A164" s="2" t="n">
        <v>43599.8359263194</v>
      </c>
      <c r="B164" s="1" t="s">
        <v>660</v>
      </c>
      <c r="C164" s="1" t="s">
        <v>646</v>
      </c>
      <c r="D164" s="1" t="n">
        <v>9</v>
      </c>
      <c r="E164" s="1" t="s">
        <v>309</v>
      </c>
      <c r="G164" s="3" t="s">
        <v>661</v>
      </c>
      <c r="H164" s="1" t="s">
        <v>648</v>
      </c>
      <c r="I164" s="1" t="s">
        <v>63</v>
      </c>
      <c r="J164" s="1" t="s">
        <v>70</v>
      </c>
      <c r="K164" s="1" t="s">
        <v>35</v>
      </c>
      <c r="L164" s="1" t="s">
        <v>120</v>
      </c>
    </row>
    <row r="165" customFormat="false" ht="15.75" hidden="false" customHeight="false" outlineLevel="0" collapsed="false">
      <c r="A165" s="2" t="n">
        <v>43600.1414962269</v>
      </c>
      <c r="B165" s="1" t="s">
        <v>662</v>
      </c>
      <c r="C165" s="1" t="s">
        <v>254</v>
      </c>
      <c r="D165" s="1" t="n">
        <v>9</v>
      </c>
      <c r="E165" s="1" t="n">
        <v>117</v>
      </c>
      <c r="G165" s="1" t="s">
        <v>562</v>
      </c>
      <c r="H165" s="1" t="s">
        <v>663</v>
      </c>
      <c r="I165" s="1" t="s">
        <v>302</v>
      </c>
      <c r="J165" s="1" t="s">
        <v>70</v>
      </c>
      <c r="K165" s="1" t="s">
        <v>57</v>
      </c>
      <c r="L165" s="1" t="s">
        <v>120</v>
      </c>
    </row>
    <row r="166" customFormat="false" ht="15.75" hidden="false" customHeight="false" outlineLevel="0" collapsed="false">
      <c r="A166" s="2" t="n">
        <v>43600.1790162269</v>
      </c>
      <c r="B166" s="1" t="s">
        <v>664</v>
      </c>
      <c r="C166" s="1" t="s">
        <v>665</v>
      </c>
      <c r="D166" s="1" t="n">
        <v>8</v>
      </c>
      <c r="E166" s="1" t="s">
        <v>194</v>
      </c>
      <c r="G166" s="3" t="s">
        <v>666</v>
      </c>
      <c r="H166" s="1" t="s">
        <v>667</v>
      </c>
      <c r="I166" s="1" t="s">
        <v>20</v>
      </c>
      <c r="J166" s="1" t="s">
        <v>130</v>
      </c>
      <c r="K166" s="1" t="s">
        <v>35</v>
      </c>
      <c r="L166" s="1" t="s">
        <v>120</v>
      </c>
    </row>
    <row r="167" customFormat="false" ht="15.75" hidden="false" customHeight="false" outlineLevel="0" collapsed="false">
      <c r="A167" s="2" t="n">
        <v>43600.2609687384</v>
      </c>
      <c r="B167" s="1" t="s">
        <v>591</v>
      </c>
      <c r="C167" s="1" t="s">
        <v>586</v>
      </c>
      <c r="D167" s="1" t="n">
        <v>8</v>
      </c>
      <c r="E167" s="1" t="s">
        <v>587</v>
      </c>
      <c r="G167" s="3" t="s">
        <v>668</v>
      </c>
      <c r="H167" s="1" t="s">
        <v>590</v>
      </c>
      <c r="I167" s="1" t="s">
        <v>152</v>
      </c>
      <c r="J167" s="1" t="s">
        <v>26</v>
      </c>
      <c r="K167" s="1" t="s">
        <v>57</v>
      </c>
      <c r="L167" s="1" t="s">
        <v>50</v>
      </c>
    </row>
    <row r="168" customFormat="false" ht="15.75" hidden="false" customHeight="false" outlineLevel="0" collapsed="false">
      <c r="A168" s="2" t="n">
        <v>43600.2794455556</v>
      </c>
      <c r="B168" s="1" t="s">
        <v>669</v>
      </c>
      <c r="C168" s="1" t="s">
        <v>435</v>
      </c>
      <c r="D168" s="1" t="n">
        <v>10</v>
      </c>
      <c r="E168" s="1" t="s">
        <v>123</v>
      </c>
      <c r="G168" s="3" t="s">
        <v>670</v>
      </c>
      <c r="H168" s="1" t="s">
        <v>671</v>
      </c>
      <c r="I168" s="1" t="s">
        <v>17</v>
      </c>
      <c r="J168" s="1" t="s">
        <v>130</v>
      </c>
      <c r="K168" s="1" t="s">
        <v>19</v>
      </c>
      <c r="L168" s="1" t="s">
        <v>50</v>
      </c>
    </row>
    <row r="169" customFormat="false" ht="15.75" hidden="false" customHeight="false" outlineLevel="0" collapsed="false">
      <c r="A169" s="2" t="n">
        <v>43600.2794536111</v>
      </c>
      <c r="B169" s="1" t="s">
        <v>672</v>
      </c>
      <c r="C169" s="1" t="s">
        <v>673</v>
      </c>
      <c r="D169" s="1" t="n">
        <v>10</v>
      </c>
      <c r="E169" s="1" t="s">
        <v>123</v>
      </c>
      <c r="G169" s="3" t="s">
        <v>674</v>
      </c>
      <c r="H169" s="1" t="s">
        <v>675</v>
      </c>
      <c r="I169" s="1" t="s">
        <v>17</v>
      </c>
      <c r="J169" s="1" t="s">
        <v>130</v>
      </c>
      <c r="K169" s="1" t="s">
        <v>19</v>
      </c>
      <c r="L169" s="1" t="s">
        <v>50</v>
      </c>
    </row>
    <row r="170" customFormat="false" ht="15.75" hidden="false" customHeight="false" outlineLevel="0" collapsed="false">
      <c r="A170" s="2" t="n">
        <v>43600.3044926505</v>
      </c>
      <c r="B170" s="1" t="s">
        <v>676</v>
      </c>
      <c r="C170" s="1" t="s">
        <v>677</v>
      </c>
      <c r="D170" s="1" t="n">
        <v>9</v>
      </c>
      <c r="E170" s="1" t="s">
        <v>165</v>
      </c>
      <c r="G170" s="3" t="s">
        <v>678</v>
      </c>
      <c r="H170" s="1" t="s">
        <v>679</v>
      </c>
      <c r="I170" s="1" t="s">
        <v>82</v>
      </c>
      <c r="J170" s="1" t="s">
        <v>70</v>
      </c>
      <c r="K170" s="1" t="s">
        <v>27</v>
      </c>
      <c r="L170" s="1" t="s">
        <v>120</v>
      </c>
    </row>
    <row r="171" customFormat="false" ht="15.75" hidden="false" customHeight="false" outlineLevel="0" collapsed="false">
      <c r="A171" s="2" t="n">
        <v>43600.3648245602</v>
      </c>
      <c r="B171" s="1" t="s">
        <v>617</v>
      </c>
      <c r="C171" s="1" t="s">
        <v>200</v>
      </c>
      <c r="D171" s="1" t="n">
        <v>8</v>
      </c>
      <c r="E171" s="1" t="s">
        <v>680</v>
      </c>
      <c r="G171" s="1" t="s">
        <v>562</v>
      </c>
      <c r="H171" s="1" t="s">
        <v>619</v>
      </c>
      <c r="I171" s="1" t="s">
        <v>41</v>
      </c>
      <c r="J171" s="1" t="s">
        <v>34</v>
      </c>
      <c r="K171" s="1" t="s">
        <v>49</v>
      </c>
      <c r="L171" s="1" t="s">
        <v>71</v>
      </c>
    </row>
    <row r="172" customFormat="false" ht="15.75" hidden="false" customHeight="false" outlineLevel="0" collapsed="false">
      <c r="A172" s="2" t="n">
        <v>43600.572548669</v>
      </c>
      <c r="B172" s="1" t="s">
        <v>681</v>
      </c>
      <c r="C172" s="1" t="s">
        <v>682</v>
      </c>
      <c r="D172" s="1" t="n">
        <v>9</v>
      </c>
      <c r="E172" s="1" t="s">
        <v>683</v>
      </c>
      <c r="G172" s="3" t="s">
        <v>684</v>
      </c>
      <c r="H172" s="1" t="s">
        <v>685</v>
      </c>
      <c r="I172" s="1" t="s">
        <v>152</v>
      </c>
      <c r="J172" s="1" t="s">
        <v>130</v>
      </c>
      <c r="K172" s="1" t="s">
        <v>477</v>
      </c>
      <c r="L172" s="1" t="s">
        <v>88</v>
      </c>
    </row>
    <row r="173" customFormat="false" ht="15.75" hidden="false" customHeight="false" outlineLevel="0" collapsed="false">
      <c r="A173" s="2" t="n">
        <v>43600.5726120486</v>
      </c>
      <c r="B173" s="1" t="s">
        <v>686</v>
      </c>
      <c r="C173" s="1" t="s">
        <v>687</v>
      </c>
      <c r="D173" s="1" t="n">
        <v>9</v>
      </c>
      <c r="E173" s="1" t="n">
        <v>117</v>
      </c>
      <c r="G173" s="3" t="s">
        <v>688</v>
      </c>
      <c r="H173" s="1" t="s">
        <v>689</v>
      </c>
      <c r="I173" s="1" t="s">
        <v>152</v>
      </c>
      <c r="J173" s="1" t="s">
        <v>130</v>
      </c>
      <c r="K173" s="1" t="s">
        <v>477</v>
      </c>
      <c r="L173" s="1" t="s">
        <v>88</v>
      </c>
    </row>
    <row r="174" customFormat="false" ht="15.75" hidden="false" customHeight="false" outlineLevel="0" collapsed="false">
      <c r="A174" s="2" t="n">
        <v>43600.5949928588</v>
      </c>
      <c r="B174" s="1" t="s">
        <v>690</v>
      </c>
      <c r="C174" s="1" t="s">
        <v>691</v>
      </c>
      <c r="D174" s="1" t="n">
        <v>8</v>
      </c>
      <c r="E174" s="1" t="s">
        <v>309</v>
      </c>
      <c r="G174" s="3" t="s">
        <v>692</v>
      </c>
      <c r="H174" s="1" t="s">
        <v>693</v>
      </c>
      <c r="I174" s="1" t="s">
        <v>152</v>
      </c>
      <c r="J174" s="1" t="s">
        <v>18</v>
      </c>
      <c r="K174" s="1" t="s">
        <v>477</v>
      </c>
      <c r="L174" s="1" t="s">
        <v>43</v>
      </c>
    </row>
    <row r="175" customFormat="false" ht="15.75" hidden="false" customHeight="false" outlineLevel="0" collapsed="false">
      <c r="A175" s="2" t="n">
        <v>43600.5969731481</v>
      </c>
      <c r="B175" s="1" t="s">
        <v>690</v>
      </c>
      <c r="C175" s="1" t="s">
        <v>691</v>
      </c>
      <c r="D175" s="1" t="n">
        <v>8</v>
      </c>
      <c r="E175" s="1" t="s">
        <v>309</v>
      </c>
      <c r="G175" s="3" t="s">
        <v>692</v>
      </c>
      <c r="H175" s="1" t="s">
        <v>693</v>
      </c>
      <c r="I175" s="1" t="s">
        <v>152</v>
      </c>
      <c r="J175" s="1" t="s">
        <v>18</v>
      </c>
      <c r="K175" s="1" t="s">
        <v>477</v>
      </c>
      <c r="L175" s="1" t="s">
        <v>43</v>
      </c>
    </row>
    <row r="176" customFormat="false" ht="15.75" hidden="false" customHeight="false" outlineLevel="0" collapsed="false">
      <c r="A176" s="2" t="n">
        <v>43600.6832806481</v>
      </c>
      <c r="B176" s="1" t="s">
        <v>694</v>
      </c>
      <c r="C176" s="1" t="s">
        <v>695</v>
      </c>
      <c r="D176" s="1" t="n">
        <v>8</v>
      </c>
      <c r="E176" s="1" t="s">
        <v>309</v>
      </c>
      <c r="G176" s="3" t="s">
        <v>696</v>
      </c>
      <c r="H176" s="1" t="s">
        <v>697</v>
      </c>
      <c r="I176" s="1" t="s">
        <v>302</v>
      </c>
      <c r="J176" s="1" t="s">
        <v>18</v>
      </c>
      <c r="K176" s="1" t="s">
        <v>35</v>
      </c>
      <c r="L176" s="1" t="s">
        <v>99</v>
      </c>
    </row>
    <row r="177" customFormat="false" ht="15.75" hidden="false" customHeight="false" outlineLevel="0" collapsed="false">
      <c r="A177" s="2" t="n">
        <v>43601.0777899884</v>
      </c>
      <c r="B177" s="1" t="s">
        <v>698</v>
      </c>
      <c r="C177" s="1" t="s">
        <v>52</v>
      </c>
      <c r="D177" s="1" t="n">
        <v>8</v>
      </c>
      <c r="E177" s="1" t="s">
        <v>699</v>
      </c>
      <c r="G177" s="3" t="s">
        <v>700</v>
      </c>
      <c r="H177" s="1" t="s">
        <v>701</v>
      </c>
      <c r="I177" s="1" t="s">
        <v>82</v>
      </c>
      <c r="J177" s="1" t="s">
        <v>18</v>
      </c>
      <c r="K177" s="1" t="s">
        <v>115</v>
      </c>
      <c r="L177" s="1" t="s">
        <v>28</v>
      </c>
    </row>
    <row r="178" customFormat="false" ht="15.75" hidden="false" customHeight="false" outlineLevel="0" collapsed="false">
      <c r="A178" s="2" t="n">
        <v>43601.0785372917</v>
      </c>
      <c r="B178" s="1" t="s">
        <v>582</v>
      </c>
      <c r="C178" s="1" t="s">
        <v>326</v>
      </c>
      <c r="D178" s="1" t="n">
        <v>8</v>
      </c>
      <c r="E178" s="1" t="s">
        <v>188</v>
      </c>
      <c r="G178" s="3" t="s">
        <v>583</v>
      </c>
      <c r="H178" s="1" t="s">
        <v>584</v>
      </c>
      <c r="I178" s="1" t="s">
        <v>63</v>
      </c>
      <c r="J178" s="1" t="s">
        <v>20</v>
      </c>
      <c r="K178" s="1" t="s">
        <v>57</v>
      </c>
      <c r="L178" s="1" t="s">
        <v>28</v>
      </c>
    </row>
    <row r="179" customFormat="false" ht="15.75" hidden="false" customHeight="false" outlineLevel="0" collapsed="false">
      <c r="A179" s="2" t="n">
        <v>43601.1437464352</v>
      </c>
      <c r="B179" s="1" t="s">
        <v>702</v>
      </c>
      <c r="C179" s="1" t="s">
        <v>703</v>
      </c>
      <c r="D179" s="1" t="n">
        <v>8</v>
      </c>
      <c r="E179" s="1" t="n">
        <v>109</v>
      </c>
      <c r="G179" s="3" t="s">
        <v>704</v>
      </c>
      <c r="H179" s="1" t="s">
        <v>705</v>
      </c>
      <c r="I179" s="1" t="s">
        <v>41</v>
      </c>
      <c r="J179" s="1" t="s">
        <v>18</v>
      </c>
      <c r="K179" s="1" t="s">
        <v>49</v>
      </c>
      <c r="L179" s="1" t="s">
        <v>43</v>
      </c>
    </row>
    <row r="180" customFormat="false" ht="15.75" hidden="false" customHeight="false" outlineLevel="0" collapsed="false">
      <c r="A180" s="2" t="n">
        <v>43601.2061811111</v>
      </c>
      <c r="B180" s="1" t="s">
        <v>706</v>
      </c>
      <c r="C180" s="1" t="s">
        <v>707</v>
      </c>
      <c r="D180" s="1" t="n">
        <v>8</v>
      </c>
      <c r="E180" s="1" t="s">
        <v>708</v>
      </c>
      <c r="G180" s="3" t="s">
        <v>709</v>
      </c>
      <c r="H180" s="1" t="s">
        <v>710</v>
      </c>
      <c r="I180" s="1" t="s">
        <v>82</v>
      </c>
      <c r="J180" s="1" t="s">
        <v>18</v>
      </c>
      <c r="K180" s="1" t="s">
        <v>115</v>
      </c>
      <c r="L180" s="1" t="s">
        <v>88</v>
      </c>
    </row>
    <row r="181" customFormat="false" ht="15.75" hidden="false" customHeight="false" outlineLevel="0" collapsed="false">
      <c r="A181" s="2" t="n">
        <v>43601.3300183565</v>
      </c>
      <c r="B181" s="1" t="s">
        <v>711</v>
      </c>
      <c r="C181" s="1" t="s">
        <v>187</v>
      </c>
      <c r="D181" s="1" t="n">
        <v>7</v>
      </c>
      <c r="E181" s="1" t="n">
        <v>117</v>
      </c>
      <c r="F181" s="1" t="s">
        <v>712</v>
      </c>
      <c r="G181" s="3" t="s">
        <v>713</v>
      </c>
      <c r="H181" s="1" t="s">
        <v>714</v>
      </c>
      <c r="I181" s="1" t="s">
        <v>41</v>
      </c>
      <c r="J181" s="1" t="s">
        <v>18</v>
      </c>
      <c r="K181" s="1" t="s">
        <v>49</v>
      </c>
      <c r="L181" s="1" t="s">
        <v>50</v>
      </c>
    </row>
    <row r="182" customFormat="false" ht="15.75" hidden="false" customHeight="false" outlineLevel="0" collapsed="false">
      <c r="A182" s="2" t="n">
        <v>43601.4938124421</v>
      </c>
      <c r="B182" s="1" t="s">
        <v>715</v>
      </c>
      <c r="C182" s="1" t="s">
        <v>427</v>
      </c>
      <c r="D182" s="1" t="n">
        <v>9</v>
      </c>
      <c r="E182" s="1" t="s">
        <v>716</v>
      </c>
      <c r="F182" s="1" t="s">
        <v>717</v>
      </c>
      <c r="G182" s="3" t="s">
        <v>525</v>
      </c>
      <c r="H182" s="1" t="s">
        <v>526</v>
      </c>
      <c r="I182" s="1" t="s">
        <v>41</v>
      </c>
      <c r="J182" s="1" t="s">
        <v>130</v>
      </c>
      <c r="K182" s="1" t="s">
        <v>49</v>
      </c>
      <c r="L182" s="1" t="s">
        <v>50</v>
      </c>
    </row>
    <row r="183" customFormat="false" ht="15.75" hidden="false" customHeight="false" outlineLevel="0" collapsed="false">
      <c r="A183" s="2" t="n">
        <v>43602.1154211111</v>
      </c>
      <c r="B183" s="1" t="s">
        <v>718</v>
      </c>
      <c r="C183" s="1" t="s">
        <v>677</v>
      </c>
      <c r="D183" s="1" t="n">
        <v>8</v>
      </c>
      <c r="E183" s="1" t="n">
        <v>117</v>
      </c>
      <c r="G183" s="3" t="s">
        <v>719</v>
      </c>
      <c r="H183" s="1" t="s">
        <v>720</v>
      </c>
      <c r="I183" s="1" t="s">
        <v>41</v>
      </c>
      <c r="J183" s="1" t="s">
        <v>18</v>
      </c>
      <c r="K183" s="1" t="s">
        <v>20</v>
      </c>
      <c r="L183" s="1" t="s">
        <v>20</v>
      </c>
    </row>
    <row r="184" customFormat="false" ht="15.75" hidden="false" customHeight="false" outlineLevel="0" collapsed="false">
      <c r="A184" s="2" t="n">
        <v>43602.3060039468</v>
      </c>
      <c r="B184" s="1" t="s">
        <v>721</v>
      </c>
      <c r="C184" s="1" t="s">
        <v>322</v>
      </c>
      <c r="D184" s="1" t="n">
        <v>9</v>
      </c>
      <c r="E184" s="1" t="s">
        <v>722</v>
      </c>
      <c r="G184" s="3" t="s">
        <v>723</v>
      </c>
      <c r="H184" s="1" t="s">
        <v>724</v>
      </c>
      <c r="I184" s="1" t="s">
        <v>302</v>
      </c>
      <c r="J184" s="1" t="s">
        <v>130</v>
      </c>
      <c r="K184" s="1" t="s">
        <v>725</v>
      </c>
      <c r="L184" s="1" t="s">
        <v>50</v>
      </c>
    </row>
    <row r="185" customFormat="false" ht="15.75" hidden="false" customHeight="false" outlineLevel="0" collapsed="false">
      <c r="A185" s="2" t="n">
        <v>43602.3512216898</v>
      </c>
      <c r="B185" s="1" t="s">
        <v>726</v>
      </c>
      <c r="C185" s="1" t="s">
        <v>427</v>
      </c>
      <c r="D185" s="1" t="n">
        <v>10</v>
      </c>
      <c r="E185" s="1" t="s">
        <v>466</v>
      </c>
      <c r="G185" s="3" t="s">
        <v>727</v>
      </c>
      <c r="H185" s="1" t="s">
        <v>728</v>
      </c>
      <c r="I185" s="1" t="s">
        <v>82</v>
      </c>
      <c r="J185" s="1" t="s">
        <v>70</v>
      </c>
      <c r="K185" s="1" t="s">
        <v>35</v>
      </c>
      <c r="L185" s="1" t="s">
        <v>99</v>
      </c>
    </row>
    <row r="186" customFormat="false" ht="15.75" hidden="false" customHeight="false" outlineLevel="0" collapsed="false">
      <c r="A186" s="2" t="n">
        <v>43610.6774065046</v>
      </c>
      <c r="B186" s="1" t="s">
        <v>729</v>
      </c>
      <c r="C186" s="1" t="s">
        <v>427</v>
      </c>
      <c r="D186" s="1" t="n">
        <v>8</v>
      </c>
      <c r="E186" s="1" t="n">
        <v>63</v>
      </c>
      <c r="G186" s="3" t="s">
        <v>730</v>
      </c>
      <c r="H186" s="1" t="s">
        <v>731</v>
      </c>
      <c r="I186" s="1" t="s">
        <v>63</v>
      </c>
      <c r="J186" s="1" t="s">
        <v>98</v>
      </c>
      <c r="K186" s="1" t="s">
        <v>35</v>
      </c>
      <c r="L186" s="1" t="s">
        <v>99</v>
      </c>
    </row>
    <row r="187" customFormat="false" ht="15.75" hidden="false" customHeight="false" outlineLevel="0" collapsed="false">
      <c r="A187" s="2" t="n">
        <v>43629.1541096412</v>
      </c>
      <c r="B187" s="1" t="s">
        <v>732</v>
      </c>
      <c r="C187" s="1" t="s">
        <v>84</v>
      </c>
      <c r="D187" s="1" t="n">
        <v>7</v>
      </c>
      <c r="E187" s="1" t="s">
        <v>733</v>
      </c>
      <c r="G187" s="3" t="s">
        <v>734</v>
      </c>
      <c r="H187" s="1" t="s">
        <v>735</v>
      </c>
      <c r="I187" s="1" t="s">
        <v>63</v>
      </c>
      <c r="J187" s="1" t="s">
        <v>48</v>
      </c>
      <c r="K187" s="1" t="s">
        <v>35</v>
      </c>
      <c r="L187" s="1" t="s">
        <v>120</v>
      </c>
    </row>
    <row r="188" customFormat="false" ht="15.75" hidden="false" customHeight="false" outlineLevel="0" collapsed="false">
      <c r="A188" s="2" t="n">
        <v>43630.7192088542</v>
      </c>
      <c r="B188" s="1" t="s">
        <v>411</v>
      </c>
      <c r="C188" s="1" t="s">
        <v>418</v>
      </c>
      <c r="D188" s="1" t="n">
        <v>10</v>
      </c>
      <c r="E188" s="1" t="s">
        <v>53</v>
      </c>
      <c r="G188" s="3" t="s">
        <v>736</v>
      </c>
      <c r="H188" s="1" t="s">
        <v>737</v>
      </c>
      <c r="I188" s="1" t="s">
        <v>302</v>
      </c>
      <c r="J188" s="1" t="s">
        <v>130</v>
      </c>
      <c r="K188" s="1" t="s">
        <v>725</v>
      </c>
      <c r="L188" s="1" t="s">
        <v>120</v>
      </c>
    </row>
    <row r="189" customFormat="false" ht="15.75" hidden="false" customHeight="false" outlineLevel="0" collapsed="false">
      <c r="A189" s="2" t="n">
        <v>43634.2082668287</v>
      </c>
      <c r="B189" s="1" t="s">
        <v>738</v>
      </c>
      <c r="C189" s="1" t="s">
        <v>739</v>
      </c>
      <c r="D189" s="1" t="n">
        <v>9</v>
      </c>
      <c r="E189" s="1" t="s">
        <v>740</v>
      </c>
      <c r="G189" s="3" t="s">
        <v>741</v>
      </c>
      <c r="H189" s="1" t="s">
        <v>742</v>
      </c>
      <c r="I189" s="1" t="s">
        <v>743</v>
      </c>
      <c r="J189" s="1" t="s">
        <v>70</v>
      </c>
      <c r="K189" s="1" t="s">
        <v>35</v>
      </c>
      <c r="L189" s="1" t="s">
        <v>99</v>
      </c>
    </row>
    <row r="190" customFormat="false" ht="15.75" hidden="false" customHeight="false" outlineLevel="0" collapsed="false">
      <c r="A190" s="2" t="n">
        <v>43646.4232552778</v>
      </c>
      <c r="B190" s="1" t="s">
        <v>744</v>
      </c>
      <c r="C190" s="1" t="s">
        <v>682</v>
      </c>
      <c r="D190" s="1" t="n">
        <v>9</v>
      </c>
      <c r="E190" s="1" t="s">
        <v>466</v>
      </c>
      <c r="G190" s="1" t="s">
        <v>39</v>
      </c>
      <c r="H190" s="1" t="s">
        <v>745</v>
      </c>
      <c r="I190" s="1" t="s">
        <v>20</v>
      </c>
      <c r="J190" s="1" t="s">
        <v>48</v>
      </c>
      <c r="K190" s="1" t="s">
        <v>115</v>
      </c>
      <c r="L190" s="1" t="s">
        <v>43</v>
      </c>
    </row>
    <row r="191" customFormat="false" ht="15.75" hidden="false" customHeight="false" outlineLevel="0" collapsed="false">
      <c r="A191" s="2" t="n">
        <v>43648.2012881713</v>
      </c>
      <c r="B191" s="1" t="s">
        <v>746</v>
      </c>
      <c r="C191" s="1" t="s">
        <v>618</v>
      </c>
      <c r="D191" s="1" t="n">
        <v>9</v>
      </c>
      <c r="E191" s="1" t="s">
        <v>165</v>
      </c>
      <c r="G191" s="3" t="s">
        <v>747</v>
      </c>
      <c r="H191" s="1" t="s">
        <v>748</v>
      </c>
      <c r="I191" s="1" t="s">
        <v>63</v>
      </c>
      <c r="J191" s="1" t="s">
        <v>130</v>
      </c>
      <c r="K191" s="1" t="s">
        <v>49</v>
      </c>
      <c r="L191" s="1" t="s">
        <v>88</v>
      </c>
    </row>
    <row r="192" customFormat="false" ht="15.75" hidden="false" customHeight="false" outlineLevel="0" collapsed="false">
      <c r="A192" s="2" t="n">
        <v>43653.4816454977</v>
      </c>
      <c r="B192" s="1" t="s">
        <v>749</v>
      </c>
      <c r="C192" s="1" t="s">
        <v>30</v>
      </c>
      <c r="D192" s="1" t="n">
        <v>10</v>
      </c>
      <c r="E192" s="1" t="n">
        <v>84</v>
      </c>
      <c r="G192" s="1" t="s">
        <v>562</v>
      </c>
      <c r="H192" s="1" t="s">
        <v>750</v>
      </c>
      <c r="I192" s="1" t="s">
        <v>63</v>
      </c>
      <c r="J192" s="1" t="s">
        <v>98</v>
      </c>
      <c r="K192" s="1" t="s">
        <v>115</v>
      </c>
      <c r="L192" s="1" t="s">
        <v>99</v>
      </c>
    </row>
    <row r="193" customFormat="false" ht="15.75" hidden="false" customHeight="false" outlineLevel="0" collapsed="false">
      <c r="A193" s="2" t="n">
        <v>43653.4867433681</v>
      </c>
      <c r="B193" s="1" t="s">
        <v>751</v>
      </c>
      <c r="C193" s="1" t="s">
        <v>682</v>
      </c>
      <c r="D193" s="1" t="n">
        <v>8</v>
      </c>
      <c r="E193" s="1" t="s">
        <v>752</v>
      </c>
      <c r="G193" s="3" t="s">
        <v>753</v>
      </c>
      <c r="H193" s="1" t="s">
        <v>754</v>
      </c>
      <c r="I193" s="1" t="s">
        <v>302</v>
      </c>
      <c r="J193" s="1" t="s">
        <v>130</v>
      </c>
      <c r="K193" s="1" t="s">
        <v>725</v>
      </c>
      <c r="L193" s="1" t="s">
        <v>43</v>
      </c>
    </row>
    <row r="194" customFormat="false" ht="15.75" hidden="false" customHeight="false" outlineLevel="0" collapsed="false">
      <c r="A194" s="2" t="n">
        <v>43653.4914031944</v>
      </c>
      <c r="B194" s="1" t="s">
        <v>686</v>
      </c>
      <c r="C194" s="1" t="s">
        <v>755</v>
      </c>
      <c r="D194" s="1" t="n">
        <v>7</v>
      </c>
      <c r="E194" s="1" t="s">
        <v>404</v>
      </c>
      <c r="G194" s="3" t="s">
        <v>756</v>
      </c>
      <c r="H194" s="1" t="s">
        <v>757</v>
      </c>
      <c r="I194" s="1" t="s">
        <v>63</v>
      </c>
      <c r="J194" s="1" t="s">
        <v>20</v>
      </c>
      <c r="K194" s="1" t="s">
        <v>49</v>
      </c>
      <c r="L194" s="1" t="s">
        <v>120</v>
      </c>
    </row>
    <row r="195" customFormat="false" ht="15.75" hidden="false" customHeight="false" outlineLevel="0" collapsed="false">
      <c r="A195" s="2" t="n">
        <v>43654.2029109838</v>
      </c>
      <c r="B195" s="1" t="s">
        <v>758</v>
      </c>
      <c r="C195" s="1" t="s">
        <v>687</v>
      </c>
      <c r="D195" s="1" t="n">
        <v>11</v>
      </c>
      <c r="E195" s="1" t="n">
        <v>64</v>
      </c>
      <c r="G195" s="3" t="s">
        <v>759</v>
      </c>
      <c r="H195" s="1" t="s">
        <v>760</v>
      </c>
      <c r="I195" s="1" t="s">
        <v>302</v>
      </c>
      <c r="J195" s="1" t="s">
        <v>20</v>
      </c>
      <c r="K195" s="1" t="s">
        <v>20</v>
      </c>
      <c r="L195" s="1" t="s">
        <v>20</v>
      </c>
    </row>
    <row r="196" customFormat="false" ht="15.75" hidden="false" customHeight="false" outlineLevel="0" collapsed="false">
      <c r="A196" s="2" t="n">
        <v>43654.2060566088</v>
      </c>
      <c r="B196" s="1" t="s">
        <v>761</v>
      </c>
      <c r="C196" s="1" t="s">
        <v>762</v>
      </c>
      <c r="D196" s="1" t="n">
        <v>11</v>
      </c>
      <c r="E196" s="1" t="n">
        <v>140</v>
      </c>
      <c r="F196" s="1" t="s">
        <v>763</v>
      </c>
      <c r="G196" s="3" t="s">
        <v>764</v>
      </c>
      <c r="H196" s="1" t="s">
        <v>765</v>
      </c>
      <c r="I196" s="1" t="s">
        <v>302</v>
      </c>
      <c r="J196" s="1" t="s">
        <v>98</v>
      </c>
      <c r="K196" s="1" t="s">
        <v>725</v>
      </c>
      <c r="L196" s="1" t="s">
        <v>20</v>
      </c>
    </row>
    <row r="197" customFormat="false" ht="15.75" hidden="false" customHeight="false" outlineLevel="0" collapsed="false">
      <c r="A197" s="2" t="n">
        <v>43654.2983382755</v>
      </c>
      <c r="B197" s="1" t="s">
        <v>766</v>
      </c>
      <c r="C197" s="1" t="s">
        <v>254</v>
      </c>
      <c r="D197" s="1" t="n">
        <v>8</v>
      </c>
      <c r="E197" s="1" t="n">
        <v>117</v>
      </c>
      <c r="G197" s="1" t="s">
        <v>767</v>
      </c>
      <c r="H197" s="1" t="s">
        <v>768</v>
      </c>
      <c r="I197" s="1" t="s">
        <v>41</v>
      </c>
      <c r="J197" s="1" t="s">
        <v>34</v>
      </c>
      <c r="K197" s="1" t="s">
        <v>27</v>
      </c>
      <c r="L197" s="1" t="s">
        <v>36</v>
      </c>
    </row>
    <row r="198" customFormat="false" ht="15.75" hidden="false" customHeight="false" outlineLevel="0" collapsed="false">
      <c r="A198" s="2" t="n">
        <v>43661.1131446528</v>
      </c>
      <c r="B198" s="1" t="s">
        <v>769</v>
      </c>
      <c r="C198" s="1" t="s">
        <v>298</v>
      </c>
      <c r="D198" s="1" t="n">
        <v>8</v>
      </c>
      <c r="E198" s="1" t="s">
        <v>752</v>
      </c>
      <c r="G198" s="3" t="s">
        <v>770</v>
      </c>
      <c r="H198" s="1" t="s">
        <v>768</v>
      </c>
      <c r="I198" s="1" t="s">
        <v>20</v>
      </c>
      <c r="J198" s="1" t="s">
        <v>20</v>
      </c>
      <c r="K198" s="1" t="s">
        <v>35</v>
      </c>
      <c r="L198" s="1" t="s">
        <v>99</v>
      </c>
    </row>
    <row r="199" customFormat="false" ht="15.75" hidden="false" customHeight="false" outlineLevel="0" collapsed="false">
      <c r="A199" s="2" t="n">
        <v>43661.3767834028</v>
      </c>
      <c r="B199" s="1" t="s">
        <v>771</v>
      </c>
      <c r="C199" s="1" t="s">
        <v>772</v>
      </c>
      <c r="D199" s="1" t="n">
        <v>9</v>
      </c>
      <c r="E199" s="1" t="n">
        <v>66</v>
      </c>
      <c r="G199" s="3" t="s">
        <v>773</v>
      </c>
      <c r="H199" s="1" t="s">
        <v>768</v>
      </c>
      <c r="I199" s="1" t="s">
        <v>20</v>
      </c>
      <c r="J199" s="1" t="s">
        <v>20</v>
      </c>
      <c r="K199" s="1" t="s">
        <v>115</v>
      </c>
      <c r="L199" s="1" t="s">
        <v>43</v>
      </c>
    </row>
  </sheetData>
  <hyperlinks>
    <hyperlink ref="G2" r:id="rId2" display="vk.com/aliceintowonderland"/>
    <hyperlink ref="G3" r:id="rId3" display="https://vk.com/id451195781"/>
    <hyperlink ref="G4" r:id="rId4" display="https://vk.com/id339456210"/>
    <hyperlink ref="G6" r:id="rId5" display="https://vk.com/id451195781"/>
    <hyperlink ref="G7" r:id="rId6" display="https://vk.com/luka5s5"/>
    <hyperlink ref="G8" r:id="rId7" display="https://m.vk.com/ann_1907"/>
    <hyperlink ref="G9" r:id="rId8" display="https://vk.com/tixon2002"/>
    <hyperlink ref="G10" r:id="rId9" display="vk.com/renata_eva"/>
    <hyperlink ref="G11" r:id="rId10" display="https://vk.com/id247403526"/>
    <hyperlink ref="G12" r:id="rId11" display="vk.com/milanakanygina"/>
    <hyperlink ref="G13" r:id="rId12" display="vk.com/somnusss"/>
    <hyperlink ref="G15" r:id="rId13" display="https://vk.com/kulichenko2"/>
    <hyperlink ref="G16" r:id="rId14" display="vk.com/id209670944"/>
    <hyperlink ref="G17" r:id="rId15" display="https://vk.com/ktaranova3"/>
    <hyperlink ref="G18" r:id="rId16" display="https://vk.com/a.kalinechenko"/>
    <hyperlink ref="G19" r:id="rId17" display="https://vk.com/m.christmas27"/>
    <hyperlink ref="G20" r:id="rId18" display="https://vk.com/shdrkn"/>
    <hyperlink ref="G21" r:id="rId19" display="https://vk.com/shdrkn"/>
    <hyperlink ref="G22" r:id="rId20" display="https://vk.com/flekser_from_sirius"/>
    <hyperlink ref="G23" r:id="rId21" display="https://vk.com/id467293207"/>
    <hyperlink ref="G24" r:id="rId22" display="https://vk.com/p.nedoboyko"/>
    <hyperlink ref="G25" r:id="rId23" display="https://vk.com/sofya_barneva"/>
    <hyperlink ref="G26" r:id="rId24" display="https://vk.com/id452262359"/>
    <hyperlink ref="G27" r:id="rId25" display="https://vk.com/id390700568"/>
    <hyperlink ref="G28" r:id="rId26" display="https://vk.com/mane4kaw"/>
    <hyperlink ref="G29" r:id="rId27" display="https://vk.com/id339456210"/>
    <hyperlink ref="G30" r:id="rId28" display="https://vk.com/id254419335 "/>
    <hyperlink ref="G31" r:id="rId29" display="https://m.vk.com/polina_l16"/>
    <hyperlink ref="G32" r:id="rId30" display="https://vk.com/id535081485"/>
    <hyperlink ref="G33" r:id="rId31" display="vk.com/id254401565"/>
    <hyperlink ref="G34" r:id="rId32" display="https://vk.com/vudovichenkov"/>
    <hyperlink ref="G35" r:id="rId33" display="https://vk.com/squadrista"/>
    <hyperlink ref="G36" r:id="rId34" display="https://vk.com/id269184131"/>
    <hyperlink ref="G37" r:id="rId35" display="https://vk.com/id535081485"/>
    <hyperlink ref="G38" r:id="rId36" display="https://vk.com/id539493679"/>
    <hyperlink ref="G39" r:id="rId37" display="https://vk.com/aderkach2017"/>
    <hyperlink ref="G40" r:id="rId38" display="https://vk.com/elimaksi"/>
    <hyperlink ref="G41" r:id="rId39" display="https://vk.com/id250886985"/>
    <hyperlink ref="G42" r:id="rId40" display="https://vk.com/id333898320"/>
    <hyperlink ref="G43" r:id="rId41" display="https://vk.com/id341567849"/>
    <hyperlink ref="G44" r:id="rId42" display="vk.com/karmaa_police"/>
    <hyperlink ref="G45" r:id="rId43" display="https://vk.com/zzaitceva"/>
    <hyperlink ref="G46" r:id="rId44" display="https://vk.com/id494021182"/>
    <hyperlink ref="G47" r:id="rId45" display="vk.com/sestroslava "/>
    <hyperlink ref="G48" r:id="rId46" display="https://vk.com/rem.joui"/>
    <hyperlink ref="G49" r:id="rId47" display="https://vk.com/id238150808"/>
    <hyperlink ref="G50" r:id="rId48" display="https://vk.com/shdoo"/>
    <hyperlink ref="G51" r:id="rId49" display="https://m.vk.com/sergey.prokhorov2000"/>
    <hyperlink ref="G52" r:id="rId50" display="https://vk.com/id318731608"/>
    <hyperlink ref="G53" r:id="rId51" display="https://vk.com/id435651592"/>
    <hyperlink ref="G54" r:id="rId52" display="https://vk.com/sillicium"/>
    <hyperlink ref="G55" r:id="rId53" display="vk.com/yoneeth"/>
    <hyperlink ref="G56" r:id="rId54" display="https://vk.com/ira_getalova"/>
    <hyperlink ref="G57" r:id="rId55" display="vk.com/gooddayana"/>
    <hyperlink ref="G58" r:id="rId56" display="vk.com/ilya_kuzin"/>
    <hyperlink ref="G60" r:id="rId57" display="vk.com/mihagg01"/>
    <hyperlink ref="G61" r:id="rId58" display="https://vk.com/jewomskiy"/>
    <hyperlink ref="G63" r:id="rId59" display="https://vk.com/id308817000"/>
    <hyperlink ref="G64" r:id="rId60" display="https://vk.com/id217815318"/>
    <hyperlink ref="G65" r:id="rId61" display="https://vk.com/timfencing"/>
    <hyperlink ref="G66" r:id="rId62" display="https://vk.com/mi.morgun.ivan"/>
    <hyperlink ref="G67" r:id="rId63" display="https://m.vk.com/sumleninova"/>
    <hyperlink ref="G68" r:id="rId64" display="https://vk.com/irassion"/>
    <hyperlink ref="G69" r:id="rId65" display="https://vk.com/aselnurkusheva"/>
    <hyperlink ref="G70" r:id="rId66" display="https://vk.com/id189048907"/>
    <hyperlink ref="G71" r:id="rId67" display="https://m.vk.com/sweet1peach"/>
    <hyperlink ref="G72" r:id="rId68" display="https://vk.com/gulintvagen"/>
    <hyperlink ref="G73" r:id="rId69" display="https://vk.com/andreyzerniuk30"/>
    <hyperlink ref="G74" r:id="rId70" display="https://vk.com/nsidorov2001"/>
    <hyperlink ref="G75" r:id="rId71" display="https://vk.com/inaeternum16"/>
    <hyperlink ref="G76" r:id="rId72" display="https://vk.com/id397630639"/>
    <hyperlink ref="G77" r:id="rId73" display="vk.com/belimcatherine"/>
    <hyperlink ref="G78" r:id="rId74" display="vk.com/id245076479"/>
    <hyperlink ref="G79" r:id="rId75" display="vk.com/serobabinaa"/>
    <hyperlink ref="G80" r:id="rId76" display="https://vk.com/eliaskvint"/>
    <hyperlink ref="G81" r:id="rId77" display="https://vk.com/versus_house"/>
    <hyperlink ref="G82" r:id="rId78" display="https://vk.com/unssonn"/>
    <hyperlink ref="G83" r:id="rId79" display="https://vk.com/unssonn"/>
    <hyperlink ref="G84" r:id="rId80" display="https://vk.com/unssonn"/>
    <hyperlink ref="G85" r:id="rId81" display="https://m.vk.com/unssonn"/>
    <hyperlink ref="G86" r:id="rId82" display="https://vk.com/anastasiavol"/>
    <hyperlink ref="G87" r:id="rId83" display="https://m.vk.com/id152267404"/>
    <hyperlink ref="G88" r:id="rId84" display="https://m.vk.com/id152267404"/>
    <hyperlink ref="G89" r:id="rId85" display="https://vk.com/anna_dolgova2004"/>
    <hyperlink ref="G90" r:id="rId86" display="https://vk.com/electrik08"/>
    <hyperlink ref="G91" r:id="rId87" display="vk.com/myfakk"/>
    <hyperlink ref="G92" r:id="rId88" display="vk.com/denisshapoval"/>
    <hyperlink ref="G93" r:id="rId89" display="https://vk.com/polinko_malinko"/>
    <hyperlink ref="G94" r:id="rId90" display="https://vk.com/id138745585"/>
    <hyperlink ref="G95" r:id="rId91" display="https://vk.com/id249818753"/>
    <hyperlink ref="G96" r:id="rId92" display="vk.com/sasashasas"/>
    <hyperlink ref="G97" r:id="rId93" display="vk.com/muravyeva2012"/>
    <hyperlink ref="G98" r:id="rId94" display="https://m.vk.com/liub04ka"/>
    <hyperlink ref="G99" r:id="rId95" display="vk.com/shlykova_valeriya"/>
    <hyperlink ref="G100" r:id="rId96" display="https://vk.com/id276675815"/>
    <hyperlink ref="G101" r:id="rId97" display="https://vk.com/id239500086"/>
    <hyperlink ref="G102" r:id="rId98" display="https://vk.com/id308485017"/>
    <hyperlink ref="G103" r:id="rId99" display="vk.com/ijustwannahearyouscreamagain"/>
    <hyperlink ref="G104" r:id="rId100" display="https://vk.com/id195904823"/>
    <hyperlink ref="G105" r:id="rId101" display="https://vk.com/qwartal13"/>
    <hyperlink ref="G106" r:id="rId102" display="https://vk.com/bpyanzin"/>
    <hyperlink ref="G107" r:id="rId103" display="https://vk.com/bpyanzin"/>
    <hyperlink ref="G108" r:id="rId104" display="https://vk.com/id418432876"/>
    <hyperlink ref="G109" r:id="rId105" display="https://vk.com/crazyjokerequallynewcrazy"/>
    <hyperlink ref="G110" r:id="rId106" display="vk.com/byheart_chaika"/>
    <hyperlink ref="G111" r:id="rId107" display="https://vk.com/katelinker"/>
    <hyperlink ref="G112" r:id="rId108" display="vk.com/imagineonfire"/>
    <hyperlink ref="G113" r:id="rId109" display="vk.com/musical_mary"/>
    <hyperlink ref="G114" r:id="rId110" display="https://vk.com/volvo2005"/>
    <hyperlink ref="G115" r:id="rId111" display="https://vk.com/polinko_malinko"/>
    <hyperlink ref="G116" r:id="rId112" display="https://vk.com/id479109984"/>
    <hyperlink ref="G117" r:id="rId113" display="vk.com/vlas.vanya"/>
    <hyperlink ref="G119" r:id="rId114" display="https://vk.com/id185708014"/>
    <hyperlink ref="G120" r:id="rId115" display="vk.com/anasta_pro"/>
    <hyperlink ref="G121" r:id="rId116" display="vk.com/goldnil"/>
    <hyperlink ref="G122" r:id="rId117" display="https://vk.com/id188855311"/>
    <hyperlink ref="G123" r:id="rId118" display="https://vk.com/id300520380"/>
    <hyperlink ref="G124" r:id="rId119" display="https://vk.com/id300520380"/>
    <hyperlink ref="G125" r:id="rId120" display="vk.com/id469538160"/>
    <hyperlink ref="G126" r:id="rId121" display="https://vk.com/likeman177"/>
    <hyperlink ref="G127" r:id="rId122" display="https://vk.com/love2006alena8"/>
    <hyperlink ref="G128" r:id="rId123" display="https://vk.com/love2006alena8"/>
    <hyperlink ref="G129" r:id="rId124" display="https://vk.com/id473918755"/>
    <hyperlink ref="G130" r:id="rId125" display="vk.com/mrov29"/>
    <hyperlink ref="G131" r:id="rId126" display="vk.com/vladimir.petrov2016"/>
    <hyperlink ref="G133" r:id="rId127" display="vk.com/totallynothelix"/>
    <hyperlink ref="G134" r:id="rId128" display="https://vk.com/mrlsan"/>
    <hyperlink ref="G136" r:id="rId129" display="https://vk.com/dashs2016"/>
    <hyperlink ref="G137" r:id="rId130" display="vk.com/id383760243"/>
    <hyperlink ref="G138" r:id="rId131" display="https://vk.com/id248147614"/>
    <hyperlink ref="G139" r:id="rId132" display="vk.com/ramina_mm"/>
    <hyperlink ref="G140" r:id="rId133" display="vk.com/ramina_mm"/>
    <hyperlink ref="G141" r:id="rId134" display="https://vk.com/id526408411"/>
    <hyperlink ref="G142" r:id="rId135" display="https://vk.com/id526408411"/>
    <hyperlink ref="G143" r:id="rId136" display="https://vk.com/id262530619"/>
    <hyperlink ref="G144" r:id="rId137" display="https://vk.com/nikola_serj"/>
    <hyperlink ref="G145" r:id="rId138" display="vk.com/id227178442"/>
    <hyperlink ref="G146" r:id="rId139" display="https://vk.com/y.kolyvanova1990"/>
    <hyperlink ref="G147" r:id="rId140" display="https://vk.com/y.kolyvanova1990"/>
    <hyperlink ref="G148" r:id="rId141" display="https://vk.com/shanny_angel"/>
    <hyperlink ref="G150" r:id="rId142" display="https://m.vk.com/refresher1"/>
    <hyperlink ref="G151" r:id="rId143" display="vk.com/misha_zhilin2003"/>
    <hyperlink ref="G152" r:id="rId144" display="vk.com/sad_nina"/>
    <hyperlink ref="G153" r:id="rId145" display="vk.com/ny1privet2elon3musk"/>
    <hyperlink ref="G154" r:id="rId146" display="vk.com/katerrrrrina"/>
    <hyperlink ref="G155" r:id="rId147" display="https://vk.com/id418977018"/>
    <hyperlink ref="G156" r:id="rId148" display="https://vk.com/id418977018"/>
    <hyperlink ref="G157" r:id="rId149" display="https://vk.com/id418977018"/>
    <hyperlink ref="G158" r:id="rId150" display="https://vk.com/id341427594"/>
    <hyperlink ref="G159" r:id="rId151" display="https://vk.com/id285364433"/>
    <hyperlink ref="G160" r:id="rId152" display="https://vk.com/id436516056"/>
    <hyperlink ref="G161" r:id="rId153" display="https://vk.com/baldezzhhhhh"/>
    <hyperlink ref="G162" r:id="rId154" display="https://m.vk.com/volchara49"/>
    <hyperlink ref="G163" r:id="rId155" display="https://vk.com/id285364433"/>
    <hyperlink ref="G164" r:id="rId156" display="vk.com/id285364433"/>
    <hyperlink ref="G166" r:id="rId157" display="https://vk.com/id281800589"/>
    <hyperlink ref="G167" r:id="rId158" display="Vk.com/ramina_mm"/>
    <hyperlink ref="G168" r:id="rId159" display="https://vk.com/alexandrinioo"/>
    <hyperlink ref="G169" r:id="rId160" display="vk.com/id175231174"/>
    <hyperlink ref="G170" r:id="rId161" display="https://vk.com/id252385302"/>
    <hyperlink ref="G172" r:id="rId162" display="https://vk.com/id190943067"/>
    <hyperlink ref="G173" r:id="rId163" display="https://vk.com/id284438427"/>
    <hyperlink ref="G174" r:id="rId164" display="vk.com/puteshestvennik2004"/>
    <hyperlink ref="G175" r:id="rId165" display="vk.com/puteshestvennik2004"/>
    <hyperlink ref="G176" r:id="rId166" display="vk.com/unrealpochvoved"/>
    <hyperlink ref="G177" r:id="rId167" display="https://vk.com/klimova_ann"/>
    <hyperlink ref="G178" r:id="rId168" display="https://vk.com/id248147614"/>
    <hyperlink ref="G179" r:id="rId169" display="https://vk.com/id299162973"/>
    <hyperlink ref="G180" r:id="rId170" display="https://vk.com/id258574005"/>
    <hyperlink ref="G181" r:id="rId171" display="https://vk.com/id141442481"/>
    <hyperlink ref="G182" r:id="rId172" display="vk.com/anasta_pro"/>
    <hyperlink ref="G183" r:id="rId173" display="https://vk.com/id324261632"/>
    <hyperlink ref="G184" r:id="rId174" display="Vk.com/id463866987"/>
    <hyperlink ref="G185" r:id="rId175" display="vk.com/grichkoedova"/>
    <hyperlink ref="G186" r:id="rId176" display="https://vk.com/id542091942"/>
    <hyperlink ref="G187" r:id="rId177" display="https://vk.com/guselki_yurovchati"/>
    <hyperlink ref="G188" r:id="rId178" display="https://vk.com/denis007crack"/>
    <hyperlink ref="G189" r:id="rId179" display="vk.com/id494493499"/>
    <hyperlink ref="G191" r:id="rId180" display="vk.com/id496766710"/>
    <hyperlink ref="G193" r:id="rId181" display="https://vk.com/id319452249"/>
    <hyperlink ref="G194" r:id="rId182" display="vk.com/id330253179"/>
    <hyperlink ref="G195" r:id="rId183" display="https://vk.com/semyonsychov"/>
    <hyperlink ref="G196" r:id="rId184" display="https://vk.com/svandrith"/>
    <hyperlink ref="G198" r:id="rId185" display="https://vk.com/id335232813"/>
    <hyperlink ref="G199" r:id="rId186" display="https://vk.com/lovememes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8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1.3"/>
    <col collapsed="false" customWidth="true" hidden="false" outlineLevel="0" max="5" min="5" style="0" width="5.43"/>
    <col collapsed="false" customWidth="true" hidden="false" outlineLevel="0" max="6" min="6" style="0" width="6.88"/>
    <col collapsed="false" customWidth="true" hidden="false" outlineLevel="0" max="7" min="7" style="0" width="89.57"/>
    <col collapsed="false" customWidth="true" hidden="false" outlineLevel="0" max="8" min="8" style="0" width="16.87"/>
    <col collapsed="false" customWidth="true" hidden="false" outlineLevel="0" max="10" min="10" style="0" width="28.57"/>
    <col collapsed="false" customWidth="true" hidden="false" outlineLevel="0" max="11" min="11" style="0" width="27.86"/>
    <col collapsed="false" customWidth="true" hidden="false" outlineLevel="0" max="12" min="12" style="0" width="27.71"/>
    <col collapsed="false" customWidth="true" hidden="false" outlineLevel="0" max="13" min="13" style="0" width="41.41"/>
  </cols>
  <sheetData>
    <row r="1" customFormat="false" ht="15.75" hidden="false" customHeight="false" outlineLevel="0" collapsed="false">
      <c r="A1" s="5" t="s">
        <v>774</v>
      </c>
    </row>
    <row r="2" customFormat="false" ht="15.75" hidden="false" customHeight="false" outlineLevel="0" collapsed="false">
      <c r="A2" s="6" t="s">
        <v>42</v>
      </c>
      <c r="B2" s="6"/>
      <c r="C2" s="6"/>
    </row>
    <row r="3" customFormat="false" ht="15.7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775</v>
      </c>
      <c r="I3" s="0" t="s">
        <v>7</v>
      </c>
      <c r="J3" s="0" t="s">
        <v>8</v>
      </c>
      <c r="K3" s="0" t="s">
        <v>9</v>
      </c>
      <c r="L3" s="0" t="s">
        <v>10</v>
      </c>
      <c r="M3" s="0" t="s">
        <v>11</v>
      </c>
      <c r="N3" s="1" t="s">
        <v>776</v>
      </c>
      <c r="O3" s="1" t="s">
        <v>777</v>
      </c>
      <c r="AJ3" s="0" t="s">
        <v>82</v>
      </c>
    </row>
    <row r="4" customFormat="false" ht="15.75" hidden="false" customHeight="false" outlineLevel="0" collapsed="false">
      <c r="A4" s="7" t="n">
        <f aca="false">IF(NOT(ISBLANK(B3:B4)), ROW()-3,"")</f>
        <v>1</v>
      </c>
      <c r="B4" s="8" t="n">
        <f aca="false">IFERROR(__xludf.dummyfunction("FILTER('Переформатированный ответ'!$A$2:$M$200,ARRAYFORMULA(((((('Переформатированный ответ'!$I$2:$I$200 = A2)+('Переформатированный ответ'!$J$2:$J$200 = A2)+('Переформатированный ответ'!$K$2:$K$200 = A2)+('Переформатированный ответ'!$L$2:$L$200 = A2))&gt;0)"&amp;"+('Переформатированный ответ'!$O$2:$O$200 &gt;-1)) = 2)))"),43596.1710209028)</f>
        <v>43596.17102</v>
      </c>
      <c r="C4" s="0" t="str">
        <f aca="false">IFERROR(__xludf.dummyfunction("""COMPUTED_VALUE"""),"Борисец ")</f>
        <v>Борисец</v>
      </c>
      <c r="D4" s="0" t="str">
        <f aca="false">IFERROR(__xludf.dummyfunction("""COMPUTED_VALUE"""),"Анастасия ")</f>
        <v>Анастасия</v>
      </c>
      <c r="E4" s="0" t="n">
        <f aca="false">IFERROR(__xludf.dummyfunction("""COMPUTED_VALUE"""),9)</f>
        <v>9</v>
      </c>
      <c r="F4" s="0" t="n">
        <f aca="false">IFERROR(__xludf.dummyfunction("""COMPUTED_VALUE"""),117)</f>
        <v>117</v>
      </c>
      <c r="H4" s="0" t="str">
        <f aca="false">IFERROR(__xludf.dummyfunction("""COMPUTED_VALUE"""),"Нет")</f>
        <v>Нет</v>
      </c>
      <c r="I4" s="0" t="str">
        <f aca="false">IFERROR(__xludf.dummyfunction("""COMPUTED_VALUE"""),"sherlock.2002@mail.ru")</f>
        <v>sherlock.2002@mail.ru</v>
      </c>
      <c r="J4" s="0" t="str">
        <f aca="false">IFERROR(__xludf.dummyfunction("""COMPUTED_VALUE"""),"Не совсем наивная алгебра")</f>
        <v>Не совсем наивная алгебра</v>
      </c>
      <c r="K4" s="0" t="str">
        <f aca="false">IFERROR(__xludf.dummyfunction("""COMPUTED_VALUE"""),"Английский")</f>
        <v>Английский</v>
      </c>
      <c r="L4" s="0" t="str">
        <f aca="false">IFERROR(__xludf.dummyfunction("""COMPUTED_VALUE"""),"Мозговой штурм")</f>
        <v>Мозговой штурм</v>
      </c>
      <c r="M4" s="0" t="str">
        <f aca="false">IFERROR(__xludf.dummyfunction("""COMPUTED_VALUE"""),"Турнирная химия")</f>
        <v>Турнирная химия</v>
      </c>
      <c r="N4" s="0" t="str">
        <f aca="false">IFERROR(__xludf.dummyfunction("""COMPUTED_VALUE"""),"Да")</f>
        <v>Да</v>
      </c>
      <c r="O4" s="0" t="str">
        <f aca="false">IFERROR(__xludf.dummyfunction("ARRAYFORMULA(IF(FILTER('Переформатированный ответ'!$O$2:$O$200,ARRAYFORMULA(((((('Переформатированный ответ'!$I$2:$I$200 = A2)+('Переформатированный ответ'!$J$2:$J$200 = A2)+('Переформатированный ответ'!$K$2:$K$200 = A2)+('Переформатированный ответ'!$L$2:"&amp;"$L$200 = A2))&gt;0)+('Переформатированный ответ'!$O$2:$O$200 &gt;= -1)) = 2))) = 2,""будет"",""неизвестно""))"),"будет")</f>
        <v>будет</v>
      </c>
      <c r="AJ4" s="1" t="s">
        <v>63</v>
      </c>
    </row>
    <row r="5" customFormat="false" ht="15.75" hidden="false" customHeight="false" outlineLevel="0" collapsed="false">
      <c r="A5" s="7" t="n">
        <f aca="false">IF(NOT(ISBLANK(B4:B5)), ROW()-3,"")</f>
        <v>2</v>
      </c>
      <c r="B5" s="8" t="n">
        <f aca="false">IFERROR(__xludf.dummyfunction("""COMPUTED_VALUE"""),43596.1806835185)</f>
        <v>43596.18068</v>
      </c>
      <c r="C5" s="0" t="str">
        <f aca="false">IFERROR(__xludf.dummyfunction("""COMPUTED_VALUE"""),"Каныгина")</f>
        <v>Каныгина</v>
      </c>
      <c r="D5" s="0" t="str">
        <f aca="false">IFERROR(__xludf.dummyfunction("""COMPUTED_VALUE"""),"Милана")</f>
        <v>Милана</v>
      </c>
      <c r="E5" s="0" t="n">
        <f aca="false">IFERROR(__xludf.dummyfunction("""COMPUTED_VALUE"""),11)</f>
        <v>11</v>
      </c>
      <c r="F5" s="0" t="n">
        <f aca="false">IFERROR(__xludf.dummyfunction("""COMPUTED_VALUE"""),62)</f>
        <v>62</v>
      </c>
      <c r="G5" s="0" t="str">
        <f aca="false">IFERROR(__xludf.dummyfunction("""COMPUTED_VALUE"""),"Начну ходить с 9 июля")</f>
        <v>Начну ходить с 9 июля</v>
      </c>
      <c r="H5" s="9" t="str">
        <f aca="false">IFERROR(__xludf.dummyfunction("""COMPUTED_VALUE"""),"vk.com/milanakanygina")</f>
        <v>vk.com/milanakanygina</v>
      </c>
      <c r="I5" s="0" t="str">
        <f aca="false">IFERROR(__xludf.dummyfunction("""COMPUTED_VALUE"""),"milana.kanygina@gmail.com")</f>
        <v>milana.kanygina@gmail.com</v>
      </c>
      <c r="J5" s="0" t="str">
        <f aca="false">IFERROR(__xludf.dummyfunction("""COMPUTED_VALUE"""),"Зачем нужна филология?")</f>
        <v>Зачем нужна филология?</v>
      </c>
      <c r="K5" s="0" t="str">
        <f aca="false">IFERROR(__xludf.dummyfunction("""COMPUTED_VALUE"""),"Русское искусство")</f>
        <v>Русское искусство</v>
      </c>
      <c r="L5" s="0" t="str">
        <f aca="false">IFERROR(__xludf.dummyfunction("""COMPUTED_VALUE"""),"Мозговой штурм")</f>
        <v>Мозговой штурм</v>
      </c>
      <c r="M5" s="0" t="str">
        <f aca="false">IFERROR(__xludf.dummyfunction("""COMPUTED_VALUE"""),"Турнирная химия")</f>
        <v>Турнирная химия</v>
      </c>
      <c r="N5" s="0" t="str">
        <f aca="false">IFERROR(__xludf.dummyfunction("""COMPUTED_VALUE"""),"Нет")</f>
        <v>Нет</v>
      </c>
      <c r="O5" s="0" t="str">
        <f aca="false">IFERROR(__xludf.dummyfunction("""COMPUTED_VALUE"""),"будет")</f>
        <v>будет</v>
      </c>
      <c r="AJ5" s="1" t="s">
        <v>302</v>
      </c>
    </row>
    <row r="6" customFormat="false" ht="15.75" hidden="false" customHeight="false" outlineLevel="0" collapsed="false">
      <c r="A6" s="7" t="n">
        <f aca="false">IF(NOT(ISBLANK(B5:B6)), ROW()-3,"")</f>
        <v>3</v>
      </c>
      <c r="B6" s="8" t="n">
        <f aca="false">IFERROR(__xludf.dummyfunction("""COMPUTED_VALUE"""),43596.2008947569)</f>
        <v>43596.20089</v>
      </c>
      <c r="C6" s="0" t="str">
        <f aca="false">IFERROR(__xludf.dummyfunction("""COMPUTED_VALUE"""),"таранова")</f>
        <v>таранова</v>
      </c>
      <c r="D6" s="0" t="str">
        <f aca="false">IFERROR(__xludf.dummyfunction("""COMPUTED_VALUE"""),"екатерина")</f>
        <v>екатерина</v>
      </c>
      <c r="E6" s="0" t="n">
        <f aca="false">IFERROR(__xludf.dummyfunction("""COMPUTED_VALUE"""),9)</f>
        <v>9</v>
      </c>
      <c r="F6" s="0" t="n">
        <f aca="false">IFERROR(__xludf.dummyfunction("""COMPUTED_VALUE"""),7)</f>
        <v>7</v>
      </c>
      <c r="H6" s="9" t="str">
        <f aca="false">IFERROR(__xludf.dummyfunction("""COMPUTED_VALUE"""),"vk.com/ktaranova3")</f>
        <v>vk.com/ktaranova3</v>
      </c>
      <c r="I6" s="0" t="str">
        <f aca="false">IFERROR(__xludf.dummyfunction("""COMPUTED_VALUE"""),"katataranova684@qmail.com")</f>
        <v>katataranova684@qmail.com</v>
      </c>
      <c r="J6" s="0" t="str">
        <f aca="false">IFERROR(__xludf.dummyfunction("""COMPUTED_VALUE"""),"Практическая психология")</f>
        <v>Практическая психология</v>
      </c>
      <c r="K6" s="0" t="str">
        <f aca="false">IFERROR(__xludf.dummyfunction("""COMPUTED_VALUE"""),"Попробуй не сойти с ума")</f>
        <v>Попробуй не сойти с ума</v>
      </c>
      <c r="L6" s="0" t="str">
        <f aca="false">IFERROR(__xludf.dummyfunction("""COMPUTED_VALUE"""),"Мозговой штурм")</f>
        <v>Мозговой штурм</v>
      </c>
      <c r="M6" s="0" t="str">
        <f aca="false">IFERROR(__xludf.dummyfunction("""COMPUTED_VALUE"""),"Введение в психосоматику")</f>
        <v>Введение в психосоматику</v>
      </c>
      <c r="N6" s="0" t="str">
        <f aca="false">IFERROR(__xludf.dummyfunction("""COMPUTED_VALUE"""),"Нет")</f>
        <v>Нет</v>
      </c>
      <c r="O6" s="0" t="str">
        <f aca="false">IFERROR(__xludf.dummyfunction("""COMPUTED_VALUE"""),"будет")</f>
        <v>будет</v>
      </c>
      <c r="AJ6" s="0" t="s">
        <v>25</v>
      </c>
    </row>
    <row r="7" customFormat="false" ht="15.75" hidden="false" customHeight="false" outlineLevel="0" collapsed="false">
      <c r="A7" s="7" t="n">
        <f aca="false">IF(NOT(ISBLANK(B6:B7)), ROW()-3,"")</f>
        <v>4</v>
      </c>
      <c r="B7" s="8" t="n">
        <f aca="false">IFERROR(__xludf.dummyfunction("""COMPUTED_VALUE"""),43596.2186382407)</f>
        <v>43596.21864</v>
      </c>
      <c r="C7" s="0" t="str">
        <f aca="false">IFERROR(__xludf.dummyfunction("""COMPUTED_VALUE"""),"Недобойко")</f>
        <v>Недобойко</v>
      </c>
      <c r="D7" s="0" t="str">
        <f aca="false">IFERROR(__xludf.dummyfunction("""COMPUTED_VALUE"""),"Полина ")</f>
        <v>Полина</v>
      </c>
      <c r="E7" s="0" t="n">
        <f aca="false">IFERROR(__xludf.dummyfunction("""COMPUTED_VALUE"""),9)</f>
        <v>9</v>
      </c>
      <c r="F7" s="0" t="n">
        <f aca="false">IFERROR(__xludf.dummyfunction("""COMPUTED_VALUE"""),117)</f>
        <v>117</v>
      </c>
      <c r="H7" s="9" t="str">
        <f aca="false">IFERROR(__xludf.dummyfunction("""COMPUTED_VALUE"""),"vk.com/p.nedoboyko")</f>
        <v>vk.com/p.nedoboyko</v>
      </c>
      <c r="I7" s="0" t="str">
        <f aca="false">IFERROR(__xludf.dummyfunction("""COMPUTED_VALUE"""),"polina5za97@mail.ru")</f>
        <v>polina5za97@mail.ru</v>
      </c>
      <c r="J7" s="0" t="str">
        <f aca="false">IFERROR(__xludf.dummyfunction("""COMPUTED_VALUE"""),"Практическая психология")</f>
        <v>Практическая психология</v>
      </c>
      <c r="K7" s="0" t="str">
        <f aca="false">IFERROR(__xludf.dummyfunction("""COMPUTED_VALUE"""),"Попробуй не сойти с ума")</f>
        <v>Попробуй не сойти с ума</v>
      </c>
      <c r="L7" s="0" t="str">
        <f aca="false">IFERROR(__xludf.dummyfunction("""COMPUTED_VALUE"""),"Мозговой штурм")</f>
        <v>Мозговой штурм</v>
      </c>
      <c r="M7" s="0" t="str">
        <f aca="false">IFERROR(__xludf.dummyfunction("""COMPUTED_VALUE"""),"Маркетинг")</f>
        <v>Маркетинг</v>
      </c>
      <c r="N7" s="0" t="str">
        <f aca="false">IFERROR(__xludf.dummyfunction("""COMPUTED_VALUE"""),"Нет")</f>
        <v>Нет</v>
      </c>
      <c r="O7" s="0" t="str">
        <f aca="false">IFERROR(__xludf.dummyfunction("""COMPUTED_VALUE"""),"будет")</f>
        <v>будет</v>
      </c>
      <c r="AJ7" s="0" t="s">
        <v>41</v>
      </c>
    </row>
    <row r="8" customFormat="false" ht="15.75" hidden="false" customHeight="false" outlineLevel="0" collapsed="false">
      <c r="A8" s="7" t="n">
        <f aca="false">IF(NOT(ISBLANK(B7:B8)), ROW()-3,"")</f>
        <v>5</v>
      </c>
      <c r="B8" s="8" t="n">
        <f aca="false">IFERROR(__xludf.dummyfunction("""COMPUTED_VALUE"""),43596.2352264236)</f>
        <v>43596.23523</v>
      </c>
      <c r="C8" s="0" t="str">
        <f aca="false">IFERROR(__xludf.dummyfunction("""COMPUTED_VALUE"""),"Щукина ")</f>
        <v>Щукина</v>
      </c>
      <c r="D8" s="0" t="str">
        <f aca="false">IFERROR(__xludf.dummyfunction("""COMPUTED_VALUE"""),"Елена ")</f>
        <v>Елена</v>
      </c>
      <c r="E8" s="0" t="n">
        <f aca="false">IFERROR(__xludf.dummyfunction("""COMPUTED_VALUE"""),7)</f>
        <v>7</v>
      </c>
      <c r="F8" s="0" t="n">
        <f aca="false">IFERROR(__xludf.dummyfunction("""COMPUTED_VALUE"""),12)</f>
        <v>12</v>
      </c>
      <c r="H8" s="9" t="str">
        <f aca="false">IFERROR(__xludf.dummyfunction("""COMPUTED_VALUE"""),"vk.com/id452262359")</f>
        <v>vk.com/id452262359</v>
      </c>
      <c r="I8" s="0" t="str">
        <f aca="false">IFERROR(__xludf.dummyfunction("""COMPUTED_VALUE"""),"lenatpc2005@gmail.com")</f>
        <v>lenatpc2005@gmail.com</v>
      </c>
      <c r="J8" s="0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K8" s="0" t="str">
        <f aca="false">IFERROR(__xludf.dummyfunction("""COMPUTED_VALUE"""),"Английский")</f>
        <v>Английский</v>
      </c>
      <c r="L8" s="0" t="str">
        <f aca="false">IFERROR(__xludf.dummyfunction("""COMPUTED_VALUE"""),"Мозговой штурм")</f>
        <v>Мозговой штурм</v>
      </c>
      <c r="M8" s="0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N8" s="0" t="str">
        <f aca="false">IFERROR(__xludf.dummyfunction("""COMPUTED_VALUE"""),"Нет")</f>
        <v>Нет</v>
      </c>
      <c r="O8" s="0" t="str">
        <f aca="false">IFERROR(__xludf.dummyfunction("""COMPUTED_VALUE"""),"будет")</f>
        <v>будет</v>
      </c>
      <c r="AJ8" s="0" t="s">
        <v>17</v>
      </c>
    </row>
    <row r="9" customFormat="false" ht="15.75" hidden="false" customHeight="false" outlineLevel="0" collapsed="false">
      <c r="A9" s="7" t="n">
        <f aca="false">IF(NOT(ISBLANK(B8:B9)), ROW()-3,"")</f>
        <v>6</v>
      </c>
      <c r="B9" s="8" t="n">
        <f aca="false">IFERROR(__xludf.dummyfunction("""COMPUTED_VALUE"""),43596.2361986574)</f>
        <v>43596.2362</v>
      </c>
      <c r="C9" s="0" t="str">
        <f aca="false">IFERROR(__xludf.dummyfunction("""COMPUTED_VALUE"""),"рожкова")</f>
        <v>рожкова</v>
      </c>
      <c r="D9" s="0" t="str">
        <f aca="false">IFERROR(__xludf.dummyfunction("""COMPUTED_VALUE"""),"Вика")</f>
        <v>Вика</v>
      </c>
      <c r="E9" s="0" t="n">
        <f aca="false">IFERROR(__xludf.dummyfunction("""COMPUTED_VALUE"""),7)</f>
        <v>7</v>
      </c>
      <c r="F9" s="0" t="str">
        <f aca="false">IFERROR(__xludf.dummyfunction("""COMPUTED_VALUE"""),"Ключевская школа")</f>
        <v>Ключевская школа</v>
      </c>
      <c r="H9" s="9" t="str">
        <f aca="false">IFERROR(__xludf.dummyfunction("""COMPUTED_VALUE"""),"vk.com/id390700568")</f>
        <v>vk.com/id390700568</v>
      </c>
      <c r="I9" s="0" t="str">
        <f aca="false">IFERROR(__xludf.dummyfunction("""COMPUTED_VALUE"""),"vika.rozhkova.05@bk.ru")</f>
        <v>vika.rozhkova.05@bk.ru</v>
      </c>
      <c r="J9" s="0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K9" s="0" t="str">
        <f aca="false">IFERROR(__xludf.dummyfunction("""COMPUTED_VALUE"""),"Английский")</f>
        <v>Английский</v>
      </c>
      <c r="L9" s="0" t="str">
        <f aca="false">IFERROR(__xludf.dummyfunction("""COMPUTED_VALUE"""),"Мозговой штурм")</f>
        <v>Мозговой штурм</v>
      </c>
      <c r="M9" s="0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N9" s="0" t="str">
        <f aca="false">IFERROR(__xludf.dummyfunction("""COMPUTED_VALUE"""),"Нет")</f>
        <v>Нет</v>
      </c>
      <c r="O9" s="0" t="str">
        <f aca="false">IFERROR(__xludf.dummyfunction("""COMPUTED_VALUE"""),"будет")</f>
        <v>будет</v>
      </c>
      <c r="AJ9" s="0" t="s">
        <v>146</v>
      </c>
    </row>
    <row r="10" customFormat="false" ht="15.75" hidden="false" customHeight="false" outlineLevel="0" collapsed="false">
      <c r="A10" s="7" t="n">
        <f aca="false">IF(NOT(ISBLANK(B9:B10)), ROW()-3,"")</f>
        <v>7</v>
      </c>
      <c r="B10" s="8" t="n">
        <f aca="false">IFERROR(__xludf.dummyfunction("""COMPUTED_VALUE"""),43596.3259310301)</f>
        <v>43596.32593</v>
      </c>
      <c r="C10" s="0" t="str">
        <f aca="false">IFERROR(__xludf.dummyfunction("""COMPUTED_VALUE"""),"Гуртовенко")</f>
        <v>Гуртовенко</v>
      </c>
      <c r="D10" s="0" t="str">
        <f aca="false">IFERROR(__xludf.dummyfunction("""COMPUTED_VALUE"""),"Юлия")</f>
        <v>Юлия</v>
      </c>
      <c r="E10" s="0" t="n">
        <f aca="false">IFERROR(__xludf.dummyfunction("""COMPUTED_VALUE"""),9)</f>
        <v>9</v>
      </c>
      <c r="F10" s="0" t="n">
        <f aca="false">IFERROR(__xludf.dummyfunction("""COMPUTED_VALUE"""),117)</f>
        <v>117</v>
      </c>
      <c r="H10" s="9" t="str">
        <f aca="false">IFERROR(__xludf.dummyfunction("""COMPUTED_VALUE"""),"vk.com/id254401565")</f>
        <v>vk.com/id254401565</v>
      </c>
      <c r="I10" s="0" t="str">
        <f aca="false">IFERROR(__xludf.dummyfunction("""COMPUTED_VALUE"""),"surprise.trap@gmail.com")</f>
        <v>surprise.trap@gmail.com</v>
      </c>
      <c r="J10" s="0" t="str">
        <f aca="false">IFERROR(__xludf.dummyfunction("""COMPUTED_VALUE"""),"Зачем нужна филология?")</f>
        <v>Зачем нужна филология?</v>
      </c>
      <c r="K10" s="0" t="str">
        <f aca="false">IFERROR(__xludf.dummyfunction("""COMPUTED_VALUE"""),"Английский")</f>
        <v>Английский</v>
      </c>
      <c r="L10" s="0" t="str">
        <f aca="false">IFERROR(__xludf.dummyfunction("""COMPUTED_VALUE"""),"Мозговой штурм")</f>
        <v>Мозговой штурм</v>
      </c>
      <c r="M10" s="0" t="str">
        <f aca="false">IFERROR(__xludf.dummyfunction("""COMPUTED_VALUE"""),"Маркетинг")</f>
        <v>Маркетинг</v>
      </c>
      <c r="N10" s="0" t="str">
        <f aca="false">IFERROR(__xludf.dummyfunction("""COMPUTED_VALUE"""),"Нет")</f>
        <v>Нет</v>
      </c>
      <c r="O10" s="0" t="str">
        <f aca="false">IFERROR(__xludf.dummyfunction("""COMPUTED_VALUE"""),"будет")</f>
        <v>будет</v>
      </c>
      <c r="AJ10" s="0" t="s">
        <v>152</v>
      </c>
    </row>
    <row r="11" customFormat="false" ht="15.75" hidden="false" customHeight="false" outlineLevel="0" collapsed="false">
      <c r="A11" s="7" t="n">
        <f aca="false">IF(NOT(ISBLANK(B10:B11)), ROW()-3,"")</f>
        <v>8</v>
      </c>
      <c r="B11" s="8" t="n">
        <f aca="false">IFERROR(__xludf.dummyfunction("""COMPUTED_VALUE"""),43596.3269960417)</f>
        <v>43596.327</v>
      </c>
      <c r="C11" s="0" t="str">
        <f aca="false">IFERROR(__xludf.dummyfunction("""COMPUTED_VALUE"""),"Удовиченко ")</f>
        <v>Удовиченко</v>
      </c>
      <c r="D11" s="0" t="str">
        <f aca="false">IFERROR(__xludf.dummyfunction("""COMPUTED_VALUE"""),"Вероника")</f>
        <v>Вероника</v>
      </c>
      <c r="E11" s="0" t="n">
        <f aca="false">IFERROR(__xludf.dummyfunction("""COMPUTED_VALUE"""),8)</f>
        <v>8</v>
      </c>
      <c r="F11" s="0" t="n">
        <f aca="false">IFERROR(__xludf.dummyfunction("""COMPUTED_VALUE"""),117)</f>
        <v>117</v>
      </c>
      <c r="H11" s="9" t="str">
        <f aca="false">IFERROR(__xludf.dummyfunction("""COMPUTED_VALUE"""),"vk.com/vudovichenkov")</f>
        <v>vk.com/vudovichenkov</v>
      </c>
      <c r="I11" s="0" t="str">
        <f aca="false">IFERROR(__xludf.dummyfunction("""COMPUTED_VALUE"""),"v.udov04@mail.ru")</f>
        <v>v.udov04@mail.ru</v>
      </c>
      <c r="J11" s="0" t="str">
        <f aca="false">IFERROR(__xludf.dummyfunction("""COMPUTED_VALUE"""),"Практическая психология")</f>
        <v>Практическая психология</v>
      </c>
      <c r="K11" s="0" t="str">
        <f aca="false">IFERROR(__xludf.dummyfunction("""COMPUTED_VALUE"""),"Попробуй не сойти с ума")</f>
        <v>Попробуй не сойти с ума</v>
      </c>
      <c r="L11" s="0" t="str">
        <f aca="false">IFERROR(__xludf.dummyfunction("""COMPUTED_VALUE"""),"Мозговой штурм")</f>
        <v>Мозговой штурм</v>
      </c>
      <c r="M11" s="0" t="str">
        <f aca="false">IFERROR(__xludf.dummyfunction("""COMPUTED_VALUE"""),"Введение в психосоматику")</f>
        <v>Введение в психосоматику</v>
      </c>
      <c r="N11" s="0" t="str">
        <f aca="false">IFERROR(__xludf.dummyfunction("""COMPUTED_VALUE"""),"Нет")</f>
        <v>Нет</v>
      </c>
      <c r="O11" s="0" t="str">
        <f aca="false">IFERROR(__xludf.dummyfunction("""COMPUTED_VALUE"""),"будет")</f>
        <v>будет</v>
      </c>
      <c r="AJ11" s="0" t="s">
        <v>320</v>
      </c>
    </row>
    <row r="12" customFormat="false" ht="15.75" hidden="false" customHeight="false" outlineLevel="0" collapsed="false">
      <c r="A12" s="7" t="n">
        <f aca="false">IF(NOT(ISBLANK(B11:B12)), ROW()-3,"")</f>
        <v>9</v>
      </c>
      <c r="B12" s="8" t="n">
        <f aca="false">IFERROR(__xludf.dummyfunction("""COMPUTED_VALUE"""),43596.3965677083)</f>
        <v>43596.39657</v>
      </c>
      <c r="C12" s="0" t="str">
        <f aca="false">IFERROR(__xludf.dummyfunction("""COMPUTED_VALUE"""),"Макарова")</f>
        <v>Макарова</v>
      </c>
      <c r="D12" s="0" t="str">
        <f aca="false">IFERROR(__xludf.dummyfunction("""COMPUTED_VALUE"""),"Елизавета")</f>
        <v>Елизавета</v>
      </c>
      <c r="E12" s="0" t="n">
        <f aca="false">IFERROR(__xludf.dummyfunction("""COMPUTED_VALUE"""),9)</f>
        <v>9</v>
      </c>
      <c r="F12" s="0" t="n">
        <f aca="false">IFERROR(__xludf.dummyfunction("""COMPUTED_VALUE"""),74)</f>
        <v>74</v>
      </c>
      <c r="H12" s="9" t="str">
        <f aca="false">IFERROR(__xludf.dummyfunction("""COMPUTED_VALUE"""),"vk.com/elimaksi")</f>
        <v>vk.com/elimaksi</v>
      </c>
      <c r="I12" s="0" t="str">
        <f aca="false">IFERROR(__xludf.dummyfunction("""COMPUTED_VALUE"""),"elimaksi@bk.ru")</f>
        <v>elimaksi@bk.ru</v>
      </c>
      <c r="J12" s="0" t="str">
        <f aca="false">IFERROR(__xludf.dummyfunction("""COMPUTED_VALUE"""),"Практическая психология")</f>
        <v>Практическая психология</v>
      </c>
      <c r="K12" s="0" t="str">
        <f aca="false">IFERROR(__xludf.dummyfunction("""COMPUTED_VALUE"""),"Попробуй не сойти с ума")</f>
        <v>Попробуй не сойти с ума</v>
      </c>
      <c r="L12" s="0" t="str">
        <f aca="false">IFERROR(__xludf.dummyfunction("""COMPUTED_VALUE"""),"Мозговой штурм")</f>
        <v>Мозговой штурм</v>
      </c>
      <c r="M12" s="0" t="str">
        <f aca="false">IFERROR(__xludf.dummyfunction("""COMPUTED_VALUE"""),"Турнирная химия")</f>
        <v>Турнирная химия</v>
      </c>
      <c r="N12" s="0" t="str">
        <f aca="false">IFERROR(__xludf.dummyfunction("""COMPUTED_VALUE"""),"Да")</f>
        <v>Да</v>
      </c>
      <c r="O12" s="0" t="str">
        <f aca="false">IFERROR(__xludf.dummyfunction("""COMPUTED_VALUE"""),"будет")</f>
        <v>будет</v>
      </c>
      <c r="AJ12" s="0" t="s">
        <v>34</v>
      </c>
    </row>
    <row r="13" customFormat="false" ht="15.75" hidden="false" customHeight="false" outlineLevel="0" collapsed="false">
      <c r="A13" s="7" t="n">
        <f aca="false">IF(NOT(ISBLANK(B12:B13)), ROW()-3,"")</f>
        <v>10</v>
      </c>
      <c r="B13" s="8" t="n">
        <f aca="false">IFERROR(__xludf.dummyfunction("""COMPUTED_VALUE"""),43596.4042562963)</f>
        <v>43596.40426</v>
      </c>
      <c r="C13" s="0" t="str">
        <f aca="false">IFERROR(__xludf.dummyfunction("""COMPUTED_VALUE"""),"Дизер")</f>
        <v>Дизер</v>
      </c>
      <c r="D13" s="0" t="str">
        <f aca="false">IFERROR(__xludf.dummyfunction("""COMPUTED_VALUE"""),"Валерия")</f>
        <v>Валерия</v>
      </c>
      <c r="E13" s="0" t="n">
        <f aca="false">IFERROR(__xludf.dummyfunction("""COMPUTED_VALUE"""),8)</f>
        <v>8</v>
      </c>
      <c r="F13" s="0" t="n">
        <f aca="false">IFERROR(__xludf.dummyfunction("""COMPUTED_VALUE"""),117)</f>
        <v>117</v>
      </c>
      <c r="H13" s="9" t="str">
        <f aca="false">IFERROR(__xludf.dummyfunction("""COMPUTED_VALUE"""),"vk.com/id333898320")</f>
        <v>vk.com/id333898320</v>
      </c>
      <c r="I13" s="0" t="str">
        <f aca="false">IFERROR(__xludf.dummyfunction("""COMPUTED_VALUE"""),"dizer.2802@gmail.com")</f>
        <v>dizer.2802@gmail.com</v>
      </c>
      <c r="J13" s="0" t="str">
        <f aca="false">IFERROR(__xludf.dummyfunction("""COMPUTED_VALUE"""),"Меня не будет в это время")</f>
        <v>Меня не будет в это время</v>
      </c>
      <c r="K13" s="0" t="str">
        <f aca="false">IFERROR(__xludf.dummyfunction("""COMPUTED_VALUE"""),"Попробуй не сойти с ума")</f>
        <v>Попробуй не сойти с ума</v>
      </c>
      <c r="L13" s="0" t="str">
        <f aca="false">IFERROR(__xludf.dummyfunction("""COMPUTED_VALUE"""),"Мозговой штурм")</f>
        <v>Мозговой штурм</v>
      </c>
      <c r="M13" s="0" t="str">
        <f aca="false">IFERROR(__xludf.dummyfunction("""COMPUTED_VALUE"""),"Анализ данных в биологии и IT")</f>
        <v>Анализ данных в биологии и IT</v>
      </c>
      <c r="N13" s="0" t="str">
        <f aca="false">IFERROR(__xludf.dummyfunction("""COMPUTED_VALUE"""),"Нет")</f>
        <v>Нет</v>
      </c>
      <c r="O13" s="0" t="str">
        <f aca="false">IFERROR(__xludf.dummyfunction("""COMPUTED_VALUE"""),"будет")</f>
        <v>будет</v>
      </c>
      <c r="AJ13" s="0" t="s">
        <v>98</v>
      </c>
    </row>
    <row r="14" customFormat="false" ht="15.75" hidden="false" customHeight="false" outlineLevel="0" collapsed="false">
      <c r="A14" s="7" t="n">
        <f aca="false">IF(NOT(ISBLANK(B13:B14)), ROW()-3,"")</f>
        <v>11</v>
      </c>
      <c r="B14" s="8" t="n">
        <f aca="false">IFERROR(__xludf.dummyfunction("""COMPUTED_VALUE"""),43596.4437453819)</f>
        <v>43596.44375</v>
      </c>
      <c r="C14" s="0" t="str">
        <f aca="false">IFERROR(__xludf.dummyfunction("""COMPUTED_VALUE"""),"Ремизова")</f>
        <v>Ремизова</v>
      </c>
      <c r="D14" s="0" t="str">
        <f aca="false">IFERROR(__xludf.dummyfunction("""COMPUTED_VALUE"""),"Ульяна")</f>
        <v>Ульяна</v>
      </c>
      <c r="E14" s="0" t="n">
        <f aca="false">IFERROR(__xludf.dummyfunction("""COMPUTED_VALUE"""),8)</f>
        <v>8</v>
      </c>
      <c r="F14" s="0" t="n">
        <f aca="false">IFERROR(__xludf.dummyfunction("""COMPUTED_VALUE"""),117)</f>
        <v>117</v>
      </c>
      <c r="H14" s="9" t="str">
        <f aca="false">IFERROR(__xludf.dummyfunction("""COMPUTED_VALUE"""),"vk.com/rem.joui")</f>
        <v>vk.com/rem.joui</v>
      </c>
      <c r="I14" s="0" t="str">
        <f aca="false">IFERROR(__xludf.dummyfunction("""COMPUTED_VALUE"""),"ul.remizova@yandex.ru")</f>
        <v>ul.remizova@yandex.ru</v>
      </c>
      <c r="J14" s="0" t="str">
        <f aca="false">IFERROR(__xludf.dummyfunction("""COMPUTED_VALUE"""),"Зачем нужна филология?")</f>
        <v>Зачем нужна филология?</v>
      </c>
      <c r="K14" s="0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L14" s="0" t="str">
        <f aca="false">IFERROR(__xludf.dummyfunction("""COMPUTED_VALUE"""),"Мозговой штурм")</f>
        <v>Мозговой штурм</v>
      </c>
      <c r="M14" s="0" t="str">
        <f aca="false">IFERROR(__xludf.dummyfunction("""COMPUTED_VALUE"""),"Турнирная химия")</f>
        <v>Турнирная химия</v>
      </c>
      <c r="N14" s="0" t="str">
        <f aca="false">IFERROR(__xludf.dummyfunction("""COMPUTED_VALUE"""),"Нет")</f>
        <v>Нет</v>
      </c>
      <c r="O14" s="0" t="str">
        <f aca="false">IFERROR(__xludf.dummyfunction("""COMPUTED_VALUE"""),"будет")</f>
        <v>будет</v>
      </c>
      <c r="AJ14" s="0" t="s">
        <v>64</v>
      </c>
    </row>
    <row r="15" customFormat="false" ht="15.75" hidden="false" customHeight="false" outlineLevel="0" collapsed="false">
      <c r="A15" s="7" t="n">
        <f aca="false">IF(NOT(ISBLANK(B14:B15)), ROW()-3,"")</f>
        <v>12</v>
      </c>
      <c r="B15" s="8" t="n">
        <f aca="false">IFERROR(__xludf.dummyfunction("""COMPUTED_VALUE"""),43596.4578901852)</f>
        <v>43596.45789</v>
      </c>
      <c r="C15" s="0" t="str">
        <f aca="false">IFERROR(__xludf.dummyfunction("""COMPUTED_VALUE"""),"Горчакова")</f>
        <v>Горчакова</v>
      </c>
      <c r="D15" s="0" t="str">
        <f aca="false">IFERROR(__xludf.dummyfunction("""COMPUTED_VALUE"""),"Ярослава")</f>
        <v>Ярослава</v>
      </c>
      <c r="E15" s="0" t="n">
        <f aca="false">IFERROR(__xludf.dummyfunction("""COMPUTED_VALUE"""),8)</f>
        <v>8</v>
      </c>
      <c r="F15" s="0" t="n">
        <f aca="false">IFERROR(__xludf.dummyfunction("""COMPUTED_VALUE"""),117)</f>
        <v>117</v>
      </c>
      <c r="H15" s="9" t="str">
        <f aca="false">IFERROR(__xludf.dummyfunction("""COMPUTED_VALUE"""),"vk.com/id238150808")</f>
        <v>vk.com/id238150808</v>
      </c>
      <c r="I15" s="0" t="str">
        <f aca="false">IFERROR(__xludf.dummyfunction("""COMPUTED_VALUE"""),"oksana-gorchakova@mail.ru")</f>
        <v>oksana-gorchakova@mail.ru</v>
      </c>
      <c r="J15" s="0" t="str">
        <f aca="false">IFERROR(__xludf.dummyfunction("""COMPUTED_VALUE"""),"Практическая психология")</f>
        <v>Практическая психология</v>
      </c>
      <c r="K15" s="0" t="str">
        <f aca="false">IFERROR(__xludf.dummyfunction("""COMPUTED_VALUE"""),"Английский")</f>
        <v>Английский</v>
      </c>
      <c r="L15" s="0" t="str">
        <f aca="false">IFERROR(__xludf.dummyfunction("""COMPUTED_VALUE"""),"Мозговой штурм")</f>
        <v>Мозговой штурм</v>
      </c>
      <c r="M15" s="0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N15" s="0" t="str">
        <f aca="false">IFERROR(__xludf.dummyfunction("""COMPUTED_VALUE"""),"Нет")</f>
        <v>Нет</v>
      </c>
      <c r="O15" s="0" t="str">
        <f aca="false">IFERROR(__xludf.dummyfunction("""COMPUTED_VALUE"""),"будет")</f>
        <v>будет</v>
      </c>
      <c r="AJ15" s="0" t="s">
        <v>18</v>
      </c>
    </row>
    <row r="16" customFormat="false" ht="15.75" hidden="false" customHeight="false" outlineLevel="0" collapsed="false">
      <c r="A16" s="7" t="n">
        <f aca="false">IF(NOT(ISBLANK(B15:B16)), ROW()-3,"")</f>
        <v>13</v>
      </c>
      <c r="B16" s="8" t="n">
        <f aca="false">IFERROR(__xludf.dummyfunction("""COMPUTED_VALUE"""),43596.5459111343)</f>
        <v>43596.54591</v>
      </c>
      <c r="C16" s="0" t="str">
        <f aca="false">IFERROR(__xludf.dummyfunction("""COMPUTED_VALUE"""),"Терехова")</f>
        <v>Терехова</v>
      </c>
      <c r="D16" s="0" t="str">
        <f aca="false">IFERROR(__xludf.dummyfunction("""COMPUTED_VALUE"""),"Мария")</f>
        <v>Мария</v>
      </c>
      <c r="E16" s="0" t="n">
        <f aca="false">IFERROR(__xludf.dummyfunction("""COMPUTED_VALUE"""),9)</f>
        <v>9</v>
      </c>
      <c r="F16" s="0" t="n">
        <f aca="false">IFERROR(__xludf.dummyfunction("""COMPUTED_VALUE"""),139)</f>
        <v>139</v>
      </c>
      <c r="H16" s="9" t="str">
        <f aca="false">IFERROR(__xludf.dummyfunction("""COMPUTED_VALUE"""),"vk.com/id318731608")</f>
        <v>vk.com/id318731608</v>
      </c>
      <c r="I16" s="0" t="str">
        <f aca="false">IFERROR(__xludf.dummyfunction("""COMPUTED_VALUE"""),"sonofthenight7@mail.ru")</f>
        <v>sonofthenight7@mail.ru</v>
      </c>
      <c r="J16" s="0" t="str">
        <f aca="false">IFERROR(__xludf.dummyfunction("""COMPUTED_VALUE"""),"Зачем нужна филология?")</f>
        <v>Зачем нужна филология?</v>
      </c>
      <c r="K16" s="0" t="str">
        <f aca="false">IFERROR(__xludf.dummyfunction("""COMPUTED_VALUE"""),"Попробуй не сойти с ума")</f>
        <v>Попробуй не сойти с ума</v>
      </c>
      <c r="L16" s="0" t="str">
        <f aca="false">IFERROR(__xludf.dummyfunction("""COMPUTED_VALUE"""),"Мозговой штурм")</f>
        <v>Мозговой штурм</v>
      </c>
      <c r="M16" s="0" t="str">
        <f aca="false">IFERROR(__xludf.dummyfunction("""COMPUTED_VALUE"""),"Маркетинг")</f>
        <v>Маркетинг</v>
      </c>
      <c r="N16" s="0" t="str">
        <f aca="false">IFERROR(__xludf.dummyfunction("""COMPUTED_VALUE"""),"Да")</f>
        <v>Да</v>
      </c>
      <c r="O16" s="0" t="str">
        <f aca="false">IFERROR(__xludf.dummyfunction("""COMPUTED_VALUE"""),"будет")</f>
        <v>будет</v>
      </c>
      <c r="AJ16" s="0" t="s">
        <v>130</v>
      </c>
    </row>
    <row r="17" customFormat="false" ht="15.75" hidden="false" customHeight="false" outlineLevel="0" collapsed="false">
      <c r="A17" s="7" t="n">
        <f aca="false">IF(NOT(ISBLANK(B16:B17)), ROW()-3,"")</f>
        <v>14</v>
      </c>
      <c r="B17" s="8" t="n">
        <f aca="false">IFERROR(__xludf.dummyfunction("""COMPUTED_VALUE"""),43596.5526337037)</f>
        <v>43596.55263</v>
      </c>
      <c r="C17" s="0" t="str">
        <f aca="false">IFERROR(__xludf.dummyfunction("""COMPUTED_VALUE"""),"Чебакова")</f>
        <v>Чебакова</v>
      </c>
      <c r="D17" s="0" t="str">
        <f aca="false">IFERROR(__xludf.dummyfunction("""COMPUTED_VALUE"""),"Майя")</f>
        <v>Майя</v>
      </c>
      <c r="E17" s="0" t="n">
        <f aca="false">IFERROR(__xludf.dummyfunction("""COMPUTED_VALUE"""),9)</f>
        <v>9</v>
      </c>
      <c r="F17" s="0" t="n">
        <f aca="false">IFERROR(__xludf.dummyfunction("""COMPUTED_VALUE"""),64)</f>
        <v>64</v>
      </c>
      <c r="H17" s="9" t="str">
        <f aca="false">IFERROR(__xludf.dummyfunction("""COMPUTED_VALUE"""),"vk.com/sillicium")</f>
        <v>vk.com/sillicium</v>
      </c>
      <c r="I17" s="0" t="str">
        <f aca="false">IFERROR(__xludf.dummyfunction("""COMPUTED_VALUE"""),"sir.stannow@yandex.ru")</f>
        <v>sir.stannow@yandex.ru</v>
      </c>
      <c r="J17" s="0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K17" s="0" t="str">
        <f aca="false">IFERROR(__xludf.dummyfunction("""COMPUTED_VALUE"""),"Теория игр")</f>
        <v>Теория игр</v>
      </c>
      <c r="L17" s="0" t="str">
        <f aca="false">IFERROR(__xludf.dummyfunction("""COMPUTED_VALUE"""),"Мозговой штурм")</f>
        <v>Мозговой штурм</v>
      </c>
      <c r="M17" s="0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N17" s="0" t="str">
        <f aca="false">IFERROR(__xludf.dummyfunction("""COMPUTED_VALUE"""),"Нет")</f>
        <v>Нет</v>
      </c>
      <c r="O17" s="0" t="str">
        <f aca="false">IFERROR(__xludf.dummyfunction("""COMPUTED_VALUE"""),"будет")</f>
        <v>будет</v>
      </c>
      <c r="AJ17" s="0" t="s">
        <v>48</v>
      </c>
    </row>
    <row r="18" customFormat="false" ht="15.75" hidden="false" customHeight="false" outlineLevel="0" collapsed="false">
      <c r="A18" s="7" t="n">
        <f aca="false">IF(NOT(ISBLANK(B17:B18)), ROW()-3,"")</f>
        <v>15</v>
      </c>
      <c r="B18" s="8" t="n">
        <f aca="false">IFERROR(__xludf.dummyfunction("""COMPUTED_VALUE"""),43596.5989221412)</f>
        <v>43596.59892</v>
      </c>
      <c r="C18" s="0" t="str">
        <f aca="false">IFERROR(__xludf.dummyfunction("""COMPUTED_VALUE"""),"Кузин")</f>
        <v>Кузин</v>
      </c>
      <c r="D18" s="0" t="str">
        <f aca="false">IFERROR(__xludf.dummyfunction("""COMPUTED_VALUE"""),"Илья")</f>
        <v>Илья</v>
      </c>
      <c r="E18" s="0" t="n">
        <f aca="false">IFERROR(__xludf.dummyfunction("""COMPUTED_VALUE"""),11)</f>
        <v>11</v>
      </c>
      <c r="F18" s="0" t="n">
        <f aca="false">IFERROR(__xludf.dummyfunction("""COMPUTED_VALUE"""),149)</f>
        <v>149</v>
      </c>
      <c r="G18" s="0" t="str">
        <f aca="false">IFERROR(__xludf.dummyfunction("""COMPUTED_VALUE"""),"могу быть не весь день в школе")</f>
        <v>могу быть не весь день в школе</v>
      </c>
      <c r="H18" s="9" t="str">
        <f aca="false">IFERROR(__xludf.dummyfunction("""COMPUTED_VALUE"""),"vk.com/ilya_kuzin")</f>
        <v>vk.com/ilya_kuzin</v>
      </c>
      <c r="I18" s="0" t="str">
        <f aca="false">IFERROR(__xludf.dummyfunction("""COMPUTED_VALUE"""),"kuz1n.ilya@yandex.ru")</f>
        <v>kuz1n.ilya@yandex.ru</v>
      </c>
      <c r="J18" s="0" t="str">
        <f aca="false">IFERROR(__xludf.dummyfunction("""COMPUTED_VALUE"""),"Не совсем наивная алгебра")</f>
        <v>Не совсем наивная алгебра</v>
      </c>
      <c r="K18" s="0" t="str">
        <f aca="false">IFERROR(__xludf.dummyfunction("""COMPUTED_VALUE"""),"Попробуй не сойти с ума")</f>
        <v>Попробуй не сойти с ума</v>
      </c>
      <c r="L18" s="0" t="str">
        <f aca="false">IFERROR(__xludf.dummyfunction("""COMPUTED_VALUE"""),"Мозговой штурм")</f>
        <v>Мозговой штурм</v>
      </c>
      <c r="M18" s="0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N18" s="0" t="str">
        <f aca="false">IFERROR(__xludf.dummyfunction("""COMPUTED_VALUE"""),"Да")</f>
        <v>Да</v>
      </c>
      <c r="O18" s="0" t="str">
        <f aca="false">IFERROR(__xludf.dummyfunction("""COMPUTED_VALUE"""),"неизвестно")</f>
        <v>неизвестно</v>
      </c>
      <c r="AJ18" s="0" t="s">
        <v>26</v>
      </c>
    </row>
    <row r="19" customFormat="false" ht="15.75" hidden="false" customHeight="false" outlineLevel="0" collapsed="false">
      <c r="A19" s="7" t="n">
        <f aca="false">IF(NOT(ISBLANK(B18:B19)), ROW()-3,"")</f>
        <v>16</v>
      </c>
      <c r="B19" s="8" t="n">
        <f aca="false">IFERROR(__xludf.dummyfunction("""COMPUTED_VALUE"""),43596.6663452778)</f>
        <v>43596.66635</v>
      </c>
      <c r="C19" s="0" t="str">
        <f aca="false">IFERROR(__xludf.dummyfunction("""COMPUTED_VALUE"""),"Нуркушева")</f>
        <v>Нуркушева</v>
      </c>
      <c r="D19" s="0" t="str">
        <f aca="false">IFERROR(__xludf.dummyfunction("""COMPUTED_VALUE"""),"Асель")</f>
        <v>Асель</v>
      </c>
      <c r="E19" s="0" t="n">
        <f aca="false">IFERROR(__xludf.dummyfunction("""COMPUTED_VALUE"""),8)</f>
        <v>8</v>
      </c>
      <c r="F19" s="0" t="n">
        <f aca="false">IFERROR(__xludf.dummyfunction("""COMPUTED_VALUE"""),117)</f>
        <v>117</v>
      </c>
      <c r="G19" s="0" t="str">
        <f aca="false">IFERROR(__xludf.dummyfunction("""COMPUTED_VALUE"""),"Весь день")</f>
        <v>Весь день</v>
      </c>
      <c r="H19" s="9" t="str">
        <f aca="false">IFERROR(__xludf.dummyfunction("""COMPUTED_VALUE"""),"vk.com/aselnurkusheva")</f>
        <v>vk.com/aselnurkusheva</v>
      </c>
      <c r="I19" s="0" t="str">
        <f aca="false">IFERROR(__xludf.dummyfunction("""COMPUTED_VALUE"""),"a_nurkusheva@mail.ru")</f>
        <v>a_nurkusheva@mail.ru</v>
      </c>
      <c r="J19" s="0" t="str">
        <f aca="false">IFERROR(__xludf.dummyfunction("""COMPUTED_VALUE"""),"Практическая психология")</f>
        <v>Практическая психология</v>
      </c>
      <c r="K19" s="0" t="str">
        <f aca="false">IFERROR(__xludf.dummyfunction("""COMPUTED_VALUE"""),"Английский")</f>
        <v>Английский</v>
      </c>
      <c r="L19" s="0" t="str">
        <f aca="false">IFERROR(__xludf.dummyfunction("""COMPUTED_VALUE"""),"Мозговой штурм")</f>
        <v>Мозговой штурм</v>
      </c>
      <c r="M19" s="0" t="str">
        <f aca="false">IFERROR(__xludf.dummyfunction("""COMPUTED_VALUE"""),"Турнирная химия")</f>
        <v>Турнирная химия</v>
      </c>
      <c r="N19" s="0" t="str">
        <f aca="false">IFERROR(__xludf.dummyfunction("""COMPUTED_VALUE"""),"Нет")</f>
        <v>Нет</v>
      </c>
      <c r="O19" s="0" t="str">
        <f aca="false">IFERROR(__xludf.dummyfunction("""COMPUTED_VALUE"""),"будет")</f>
        <v>будет</v>
      </c>
      <c r="AJ19" s="0" t="s">
        <v>70</v>
      </c>
    </row>
    <row r="20" customFormat="false" ht="15.75" hidden="false" customHeight="false" outlineLevel="0" collapsed="false">
      <c r="A20" s="7" t="n">
        <f aca="false">IF(NOT(ISBLANK(B19:B20)), ROW()-3,"")</f>
        <v>17</v>
      </c>
      <c r="B20" s="8" t="n">
        <f aca="false">IFERROR(__xludf.dummyfunction("""COMPUTED_VALUE"""),43596.6751892361)</f>
        <v>43596.67519</v>
      </c>
      <c r="C20" s="0" t="str">
        <f aca="false">IFERROR(__xludf.dummyfunction("""COMPUTED_VALUE"""),"Локтионова")</f>
        <v>Локтионова</v>
      </c>
      <c r="D20" s="0" t="str">
        <f aca="false">IFERROR(__xludf.dummyfunction("""COMPUTED_VALUE"""),"Даниэла")</f>
        <v>Даниэла</v>
      </c>
      <c r="E20" s="0" t="n">
        <f aca="false">IFERROR(__xludf.dummyfunction("""COMPUTED_VALUE"""),10)</f>
        <v>10</v>
      </c>
      <c r="F20" s="0" t="n">
        <f aca="false">IFERROR(__xludf.dummyfunction("""COMPUTED_VALUE"""),64)</f>
        <v>64</v>
      </c>
      <c r="H20" s="10" t="str">
        <f aca="false">IFERROR(__xludf.dummyfunction("""COMPUTED_VALUE"""),"vk.com/sweet1peach")</f>
        <v>vk.com/sweet1peach</v>
      </c>
      <c r="I20" s="0" t="str">
        <f aca="false">IFERROR(__xludf.dummyfunction("""COMPUTED_VALUE"""),"daniellasky876@gmail.com")</f>
        <v>daniellasky876@gmail.com</v>
      </c>
      <c r="J20" s="0" t="str">
        <f aca="false">IFERROR(__xludf.dummyfunction("""COMPUTED_VALUE"""),"Зачем нужна филология?")</f>
        <v>Зачем нужна филология?</v>
      </c>
      <c r="K20" s="0" t="str">
        <f aca="false">IFERROR(__xludf.dummyfunction("""COMPUTED_VALUE"""),"Теория большого математика")</f>
        <v>Теория большого математика</v>
      </c>
      <c r="L20" s="0" t="str">
        <f aca="false">IFERROR(__xludf.dummyfunction("""COMPUTED_VALUE"""),"Мозговой штурм")</f>
        <v>Мозговой штурм</v>
      </c>
      <c r="M20" s="0" t="str">
        <f aca="false">IFERROR(__xludf.dummyfunction("""COMPUTED_VALUE"""),"Введение в психосоматику")</f>
        <v>Введение в психосоматику</v>
      </c>
      <c r="N20" s="0" t="str">
        <f aca="false">IFERROR(__xludf.dummyfunction("""COMPUTED_VALUE"""),"Да")</f>
        <v>Да</v>
      </c>
      <c r="O20" s="0" t="str">
        <f aca="false">IFERROR(__xludf.dummyfunction("""COMPUTED_VALUE"""),"будет")</f>
        <v>будет</v>
      </c>
      <c r="AJ20" s="0" t="s">
        <v>35</v>
      </c>
    </row>
    <row r="21" customFormat="false" ht="15.75" hidden="false" customHeight="false" outlineLevel="0" collapsed="false">
      <c r="A21" s="7" t="n">
        <f aca="false">IF(NOT(ISBLANK(B20:B21)), ROW()-3,"")</f>
        <v>18</v>
      </c>
      <c r="B21" s="8" t="n">
        <f aca="false">IFERROR(__xludf.dummyfunction("""COMPUTED_VALUE"""),43596.7088095833)</f>
        <v>43596.70881</v>
      </c>
      <c r="C21" s="0" t="str">
        <f aca="false">IFERROR(__xludf.dummyfunction("""COMPUTED_VALUE"""),"Гебель")</f>
        <v>Гебель</v>
      </c>
      <c r="D21" s="0" t="str">
        <f aca="false">IFERROR(__xludf.dummyfunction("""COMPUTED_VALUE"""),"Полина")</f>
        <v>Полина</v>
      </c>
      <c r="E21" s="0" t="n">
        <f aca="false">IFERROR(__xludf.dummyfunction("""COMPUTED_VALUE"""),8)</f>
        <v>8</v>
      </c>
      <c r="F21" s="0" t="n">
        <f aca="false">IFERROR(__xludf.dummyfunction("""COMPUTED_VALUE"""),117)</f>
        <v>117</v>
      </c>
      <c r="H21" s="9" t="str">
        <f aca="false">IFERROR(__xludf.dummyfunction("""COMPUTED_VALUE"""),"vk.com/id397630639")</f>
        <v>vk.com/id397630639</v>
      </c>
      <c r="I21" s="0" t="str">
        <f aca="false">IFERROR(__xludf.dummyfunction("""COMPUTED_VALUE"""),"gebelpolina169@gmail.com")</f>
        <v>gebelpolina169@gmail.com</v>
      </c>
      <c r="J21" s="0" t="str">
        <f aca="false">IFERROR(__xludf.dummyfunction("""COMPUTED_VALUE"""),"Практическая психология")</f>
        <v>Практическая психология</v>
      </c>
      <c r="K21" s="0" t="str">
        <f aca="false">IFERROR(__xludf.dummyfunction("""COMPUTED_VALUE"""),"Английский")</f>
        <v>Английский</v>
      </c>
      <c r="L21" s="0" t="str">
        <f aca="false">IFERROR(__xludf.dummyfunction("""COMPUTED_VALUE"""),"Мозговой штурм")</f>
        <v>Мозговой штурм</v>
      </c>
      <c r="M21" s="0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N21" s="0" t="str">
        <f aca="false">IFERROR(__xludf.dummyfunction("""COMPUTED_VALUE"""),"Нет")</f>
        <v>Нет</v>
      </c>
      <c r="O21" s="0" t="str">
        <f aca="false">IFERROR(__xludf.dummyfunction("""COMPUTED_VALUE"""),"будет")</f>
        <v>будет</v>
      </c>
      <c r="AJ21" s="0" t="s">
        <v>115</v>
      </c>
    </row>
    <row r="22" customFormat="false" ht="15.75" hidden="false" customHeight="false" outlineLevel="0" collapsed="false">
      <c r="A22" s="7" t="n">
        <f aca="false">IF(NOT(ISBLANK(B21:B22)), ROW()-3,"")</f>
        <v>19</v>
      </c>
      <c r="B22" s="8" t="n">
        <f aca="false">IFERROR(__xludf.dummyfunction("""COMPUTED_VALUE"""),43597.2179690278)</f>
        <v>43597.21797</v>
      </c>
      <c r="C22" s="0" t="str">
        <f aca="false">IFERROR(__xludf.dummyfunction("""COMPUTED_VALUE"""),"Шлыкова")</f>
        <v>Шлыкова</v>
      </c>
      <c r="D22" s="0" t="str">
        <f aca="false">IFERROR(__xludf.dummyfunction("""COMPUTED_VALUE"""),"Валерия ")</f>
        <v>Валерия</v>
      </c>
      <c r="E22" s="0" t="n">
        <f aca="false">IFERROR(__xludf.dummyfunction("""COMPUTED_VALUE"""),9)</f>
        <v>9</v>
      </c>
      <c r="F22" s="0" t="n">
        <f aca="false">IFERROR(__xludf.dummyfunction("""COMPUTED_VALUE"""),117)</f>
        <v>117</v>
      </c>
      <c r="H22" s="9" t="str">
        <f aca="false">IFERROR(__xludf.dummyfunction("""COMPUTED_VALUE"""),"vk.com/shlykova_valeriya")</f>
        <v>vk.com/shlykova_valeriya</v>
      </c>
      <c r="I22" s="0" t="str">
        <f aca="false">IFERROR(__xludf.dummyfunction("""COMPUTED_VALUE"""),"shlykova.valeriya09@mail.ru")</f>
        <v>shlykova.valeriya09@mail.ru</v>
      </c>
      <c r="J22" s="0" t="str">
        <f aca="false">IFERROR(__xludf.dummyfunction("""COMPUTED_VALUE"""),"Практическая психология")</f>
        <v>Практическая психология</v>
      </c>
      <c r="K22" s="0" t="str">
        <f aca="false">IFERROR(__xludf.dummyfunction("""COMPUTED_VALUE"""),"Попробуй не сойти с ума")</f>
        <v>Попробуй не сойти с ума</v>
      </c>
      <c r="L22" s="0" t="str">
        <f aca="false">IFERROR(__xludf.dummyfunction("""COMPUTED_VALUE"""),"Мозговой штурм")</f>
        <v>Мозговой штурм</v>
      </c>
      <c r="M22" s="0" t="str">
        <f aca="false">IFERROR(__xludf.dummyfunction("""COMPUTED_VALUE"""),"Введение в психосоматику")</f>
        <v>Введение в психосоматику</v>
      </c>
      <c r="N22" s="0" t="str">
        <f aca="false">IFERROR(__xludf.dummyfunction("""COMPUTED_VALUE"""),"Нет")</f>
        <v>Нет</v>
      </c>
      <c r="O22" s="0" t="str">
        <f aca="false">IFERROR(__xludf.dummyfunction("""COMPUTED_VALUE"""),"будет")</f>
        <v>будет</v>
      </c>
      <c r="AJ22" s="0" t="s">
        <v>42</v>
      </c>
    </row>
    <row r="23" customFormat="false" ht="15.75" hidden="false" customHeight="false" outlineLevel="0" collapsed="false">
      <c r="A23" s="7" t="str">
        <f aca="false">IF(NOT(ISBLANK(B22:B23)), ROW()-3,"")</f>
        <v/>
      </c>
      <c r="O23" s="0" t="str">
        <f aca="false">IFERROR(__xludf.dummyfunction("""COMPUTED_VALUE"""),"неизвестно")</f>
        <v>неизвестно</v>
      </c>
      <c r="AJ23" s="1" t="s">
        <v>725</v>
      </c>
    </row>
    <row r="24" customFormat="false" ht="15.75" hidden="false" customHeight="false" outlineLevel="0" collapsed="false">
      <c r="A24" s="7" t="str">
        <f aca="false">IF(NOT(ISBLANK(B23:B24)), ROW()-3,"")</f>
        <v/>
      </c>
      <c r="O24" s="0" t="str">
        <f aca="false">IFERROR(__xludf.dummyfunction("""COMPUTED_VALUE"""),"будет")</f>
        <v>будет</v>
      </c>
      <c r="AJ24" s="1" t="s">
        <v>57</v>
      </c>
    </row>
    <row r="25" customFormat="false" ht="15.75" hidden="false" customHeight="false" outlineLevel="0" collapsed="false">
      <c r="A25" s="7" t="str">
        <f aca="false">IF(NOT(ISBLANK(B24:B25)), ROW()-3,"")</f>
        <v/>
      </c>
      <c r="AJ25" s="0" t="s">
        <v>27</v>
      </c>
    </row>
    <row r="26" customFormat="false" ht="15.75" hidden="false" customHeight="false" outlineLevel="0" collapsed="false">
      <c r="A26" s="7" t="str">
        <f aca="false">IF(NOT(ISBLANK(B25:B26)), ROW()-3,"")</f>
        <v/>
      </c>
      <c r="AJ26" s="0" t="s">
        <v>477</v>
      </c>
    </row>
    <row r="27" customFormat="false" ht="15.75" hidden="false" customHeight="false" outlineLevel="0" collapsed="false">
      <c r="A27" s="7" t="str">
        <f aca="false">IF(NOT(ISBLANK(B26:B27)), ROW()-3,"")</f>
        <v/>
      </c>
      <c r="AJ27" s="0" t="s">
        <v>19</v>
      </c>
    </row>
    <row r="28" customFormat="false" ht="15.75" hidden="false" customHeight="false" outlineLevel="0" collapsed="false">
      <c r="A28" s="7" t="str">
        <f aca="false">IF(NOT(ISBLANK(B27:B28)), ROW()-3,"")</f>
        <v/>
      </c>
      <c r="AJ28" s="0" t="s">
        <v>49</v>
      </c>
    </row>
    <row r="29" customFormat="false" ht="15.75" hidden="false" customHeight="false" outlineLevel="0" collapsed="false">
      <c r="A29" s="7" t="str">
        <f aca="false">IF(NOT(ISBLANK(B28:B29)), ROW()-3,"")</f>
        <v/>
      </c>
      <c r="AJ29" s="0" t="s">
        <v>599</v>
      </c>
    </row>
    <row r="30" customFormat="false" ht="15.75" hidden="false" customHeight="false" outlineLevel="0" collapsed="false">
      <c r="A30" s="7" t="str">
        <f aca="false">IF(NOT(ISBLANK(B29:B30)), ROW()-3,"")</f>
        <v/>
      </c>
      <c r="AJ30" s="0" t="s">
        <v>36</v>
      </c>
    </row>
    <row r="31" customFormat="false" ht="15.75" hidden="false" customHeight="false" outlineLevel="0" collapsed="false">
      <c r="A31" s="7" t="str">
        <f aca="false">IF(NOT(ISBLANK(B30:B31)), ROW()-3,"")</f>
        <v/>
      </c>
      <c r="AJ31" s="1" t="s">
        <v>71</v>
      </c>
    </row>
    <row r="32" customFormat="false" ht="15.75" hidden="false" customHeight="false" outlineLevel="0" collapsed="false">
      <c r="A32" s="7" t="str">
        <f aca="false">IF(NOT(ISBLANK(B31:B32)), ROW()-3,"")</f>
        <v/>
      </c>
      <c r="AJ32" s="0" t="s">
        <v>28</v>
      </c>
    </row>
    <row r="33" customFormat="false" ht="15.75" hidden="false" customHeight="false" outlineLevel="0" collapsed="false">
      <c r="A33" s="7" t="str">
        <f aca="false">IF(NOT(ISBLANK(B32:B33)), ROW()-3,"")</f>
        <v/>
      </c>
      <c r="AJ33" s="0" t="s">
        <v>120</v>
      </c>
    </row>
    <row r="34" customFormat="false" ht="15.75" hidden="false" customHeight="false" outlineLevel="0" collapsed="false">
      <c r="A34" s="7" t="str">
        <f aca="false">IF(NOT(ISBLANK(B33:B34)), ROW()-3,"")</f>
        <v/>
      </c>
      <c r="AJ34" s="1" t="s">
        <v>50</v>
      </c>
    </row>
    <row r="35" customFormat="false" ht="15.75" hidden="false" customHeight="false" outlineLevel="0" collapsed="false">
      <c r="A35" s="7" t="str">
        <f aca="false">IF(NOT(ISBLANK(B34:B35)), ROW()-3,"")</f>
        <v/>
      </c>
      <c r="AJ35" s="0" t="s">
        <v>99</v>
      </c>
    </row>
    <row r="36" customFormat="false" ht="15.75" hidden="false" customHeight="false" outlineLevel="0" collapsed="false">
      <c r="A36" s="7" t="str">
        <f aca="false">IF(NOT(ISBLANK(B35:B36)), ROW()-3,"")</f>
        <v/>
      </c>
      <c r="AJ36" s="0" t="s">
        <v>43</v>
      </c>
    </row>
    <row r="37" customFormat="false" ht="15.75" hidden="false" customHeight="false" outlineLevel="0" collapsed="false">
      <c r="A37" s="7" t="str">
        <f aca="false">IF(NOT(ISBLANK(B36:B37)), ROW()-3,"")</f>
        <v/>
      </c>
      <c r="AJ37" s="0" t="s">
        <v>88</v>
      </c>
    </row>
    <row r="38" customFormat="false" ht="15.75" hidden="false" customHeight="false" outlineLevel="0" collapsed="false">
      <c r="A38" s="7" t="str">
        <f aca="false">IF(NOT(ISBLANK(B37:B38)), ROW()-3,"")</f>
        <v/>
      </c>
    </row>
    <row r="39" customFormat="false" ht="15.75" hidden="false" customHeight="false" outlineLevel="0" collapsed="false">
      <c r="A39" s="7" t="str">
        <f aca="false">IF(NOT(ISBLANK(B38:B39)), ROW()-3,"")</f>
        <v/>
      </c>
    </row>
    <row r="40" customFormat="false" ht="15.75" hidden="false" customHeight="false" outlineLevel="0" collapsed="false">
      <c r="A40" s="7" t="str">
        <f aca="false">IF(NOT(ISBLANK(B39:B40)), ROW()-3,"")</f>
        <v/>
      </c>
    </row>
    <row r="41" customFormat="false" ht="15.75" hidden="false" customHeight="false" outlineLevel="0" collapsed="false">
      <c r="A41" s="7" t="str">
        <f aca="false">IF(NOT(ISBLANK(B40:B41)), ROW()-3,"")</f>
        <v/>
      </c>
    </row>
    <row r="42" customFormat="false" ht="15.75" hidden="false" customHeight="false" outlineLevel="0" collapsed="false">
      <c r="A42" s="7" t="str">
        <f aca="false">IF(NOT(ISBLANK(B41:B42)), ROW()-3,"")</f>
        <v/>
      </c>
    </row>
    <row r="43" customFormat="false" ht="15.75" hidden="false" customHeight="false" outlineLevel="0" collapsed="false">
      <c r="A43" s="7" t="str">
        <f aca="false">IF(NOT(ISBLANK(B42:B43)), ROW()-3,"")</f>
        <v/>
      </c>
    </row>
  </sheetData>
  <mergeCells count="1">
    <mergeCell ref="A2:C2"/>
  </mergeCells>
  <dataValidations count="1">
    <dataValidation allowBlank="true" errorStyle="stop" operator="between" showDropDown="false" showErrorMessage="true" showInputMessage="false" sqref="A2" type="list">
      <formula1>Списки!$AJ$3:$AJ$37</formula1>
      <formula2>0</formula2>
    </dataValidation>
  </dataValidations>
  <hyperlinks>
    <hyperlink ref="H5" r:id="rId1" display="http://vk.com/milanakanygina"/>
    <hyperlink ref="H6" r:id="rId2" display="http://vk.com/ktaranova3"/>
    <hyperlink ref="H7" r:id="rId3" display="http://vk.com/p.nedoboyko"/>
    <hyperlink ref="H8" r:id="rId4" display="http://vk.com/id452262359"/>
    <hyperlink ref="H9" r:id="rId5" display="http://vk.com/id390700568"/>
    <hyperlink ref="H10" r:id="rId6" display="http://vk.com/id254401565"/>
    <hyperlink ref="H11" r:id="rId7" display="http://vk.com/vudovichenkov"/>
    <hyperlink ref="H12" r:id="rId8" display="http://vk.com/elimaksi"/>
    <hyperlink ref="H13" r:id="rId9" display="http://vk.com/id333898320"/>
    <hyperlink ref="H14" r:id="rId10" display="http://vk.com/rem.joui"/>
    <hyperlink ref="H15" r:id="rId11" display="http://vk.com/id238150808"/>
    <hyperlink ref="H16" r:id="rId12" display="http://vk.com/id318731608"/>
    <hyperlink ref="H17" r:id="rId13" display="http://vk.com/sillicium"/>
    <hyperlink ref="H18" r:id="rId14" display="http://vk.com/ilya_kuzin"/>
    <hyperlink ref="H19" r:id="rId15" display="http://vk.com/aselnurkusheva"/>
    <hyperlink ref="H20" r:id="rId16" display="http://vk.com/sweet1peach"/>
    <hyperlink ref="H21" r:id="rId17" display="http://vk.com/id397630639"/>
    <hyperlink ref="H22" r:id="rId18" display="http://vk.com/shlykova_valeriya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9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F2" activeCellId="0" sqref="F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17.86"/>
    <col collapsed="false" customWidth="true" hidden="false" outlineLevel="0" max="3" min="3" style="0" width="14.14"/>
    <col collapsed="false" customWidth="true" hidden="false" outlineLevel="0" max="4" min="4" style="0" width="4.57"/>
    <col collapsed="false" customWidth="true" hidden="false" outlineLevel="0" max="5" min="5" style="0" width="8.71"/>
    <col collapsed="false" customWidth="true" hidden="false" outlineLevel="0" max="6" min="6" style="0" width="4.86"/>
    <col collapsed="false" customWidth="true" hidden="false" outlineLevel="0" max="7" min="7" style="0" width="26.29"/>
    <col collapsed="false" customWidth="true" hidden="false" outlineLevel="0" max="8" min="8" style="0" width="4.43"/>
    <col collapsed="false" customWidth="true" hidden="false" outlineLevel="0" max="9" min="9" style="0" width="47.14"/>
    <col collapsed="false" customWidth="true" hidden="false" outlineLevel="0" max="10" min="10" style="0" width="38.57"/>
    <col collapsed="false" customWidth="true" hidden="false" outlineLevel="0" max="11" min="11" style="0" width="24"/>
    <col collapsed="false" customWidth="true" hidden="false" outlineLevel="0" max="12" min="12" style="0" width="30.43"/>
    <col collapsed="false" customWidth="true" hidden="false" outlineLevel="0" max="13" min="13" style="0" width="9.71"/>
    <col collapsed="false" customWidth="true" hidden="false" outlineLevel="0" max="14" min="14" style="0" width="6.57"/>
    <col collapsed="false" customWidth="true" hidden="false" outlineLevel="0" max="36" min="17" style="0" width="2.99"/>
    <col collapsed="false" customWidth="true" hidden="false" outlineLevel="0" max="42" min="37" style="0" width="26.29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775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776</v>
      </c>
      <c r="N1" s="1" t="s">
        <v>778</v>
      </c>
      <c r="O1" s="1" t="s">
        <v>777</v>
      </c>
      <c r="P1" s="1" t="s">
        <v>779</v>
      </c>
      <c r="Q1" s="1" t="n">
        <v>1</v>
      </c>
      <c r="R1" s="1" t="n">
        <v>2</v>
      </c>
      <c r="S1" s="1" t="n">
        <v>3</v>
      </c>
      <c r="T1" s="1" t="n">
        <v>4</v>
      </c>
      <c r="U1" s="1" t="n">
        <v>5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1</v>
      </c>
      <c r="AB1" s="1" t="n">
        <v>2</v>
      </c>
      <c r="AC1" s="1" t="n">
        <v>3</v>
      </c>
      <c r="AD1" s="1" t="n">
        <v>4</v>
      </c>
      <c r="AE1" s="1" t="n">
        <v>5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s">
        <v>780</v>
      </c>
      <c r="AL1" s="11" t="s">
        <v>780</v>
      </c>
      <c r="AM1" s="11" t="s">
        <v>780</v>
      </c>
      <c r="AN1" s="11" t="s">
        <v>780</v>
      </c>
      <c r="AO1" s="1" t="s">
        <v>780</v>
      </c>
      <c r="AP1" s="1"/>
    </row>
    <row r="2" customFormat="false" ht="15.75" hidden="false" customHeight="false" outlineLevel="0" collapsed="false">
      <c r="A2" s="8" t="e">
        <f aca="true">INDIRECT("'Ответы на форму (1)'!A"&amp;$N2,TRUE())</f>
        <v>#REF!</v>
      </c>
      <c r="B2" s="0" t="e">
        <f aca="true">INDIRECT("'Ответы на форму (1)'!B"&amp;$N2,TRUE())</f>
        <v>#REF!</v>
      </c>
      <c r="C2" s="0" t="e">
        <f aca="true">INDIRECT("'Ответы на форму (1)'!C"&amp;$N2,TRUE())</f>
        <v>#REF!</v>
      </c>
      <c r="D2" s="0" t="e">
        <f aca="true">INDIRECT("'Ответы на форму (1)'!D"&amp;$N2,TRUE())</f>
        <v>#REF!</v>
      </c>
      <c r="E2" s="0" t="n">
        <f aca="false">IFERROR(__xludf.dummyfunction("iferror(VALUE(REGEXEXTRACT(TEXT(INDIRECT(""'Ответы на форму (1)'!E""&amp;$N2,TRUE),""####""),""[0-9]+"")),IF(IFERROR(SEARCH(""моцро"",INDIRECT(""'Ответы на форму (1)'!E""&amp;$N2,TRUE)),-1) &gt;= 0,117,INDIRECT(""'Ответы на форму (1)'!E""&amp;$N2,TRUE)))"),19)</f>
        <v>19</v>
      </c>
      <c r="F2" s="0" t="e">
        <f aca="true">INDIRECT("'Ответы на форму (1)'!F"&amp;$N2,TRUE())</f>
        <v>#REF!</v>
      </c>
      <c r="G2" s="9" t="e">
        <f aca="true">IFERROR(MID(INDIRECT("'Ответы на форму (1)'!G"&amp;$N2,TRUE()),SEARCH("vk.com",INDIRECT("'Ответы на форму (1)'!G"&amp;$N2,TRUE())),LEN(INDIRECT("'Ответы на форму (1)'!G"&amp;$N2,TRUE()))),INDIRECT("'Ответы на форму (1)'!G"&amp;$N2,TRUE()))</f>
        <v>#REF!</v>
      </c>
      <c r="H2" s="0" t="e">
        <f aca="true">INDIRECT("'Ответы на форму (1)'!H"&amp;$N2,TRUE())</f>
        <v>#REF!</v>
      </c>
      <c r="I2" s="12" t="e">
        <f aca="true">INDIRECT("'Ответы на форму (1)'!I"&amp;$N2,TRUE())</f>
        <v>#REF!</v>
      </c>
      <c r="J2" s="12" t="e">
        <f aca="true">INDIRECT("'Ответы на форму (1)'!J"&amp;$N2,TRUE())</f>
        <v>#REF!</v>
      </c>
      <c r="K2" s="12" t="e">
        <f aca="true">INDIRECT("'Ответы на форму (1)'!K"&amp;$N2,TRUE())</f>
        <v>#REF!</v>
      </c>
      <c r="L2" s="12" t="e">
        <f aca="true">INDIRECT("'Ответы на форму (1)'!L"&amp;$N2,TRUE())</f>
        <v>#REF!</v>
      </c>
      <c r="M2" s="0" t="e">
        <f aca="false" t="array" ref="M2:M2">IF(B2 &lt;&gt; "",IF(COUNTIF(concat(TRIM('Список прошлого года'!$B$2:$B$200),TRIM('Список прошлого года'!$C$2:$C$200)),concat(TRIM(B2),TRIM(C2))) &gt; 0,"Да","Нет"),"")</f>
        <v>#REF!</v>
      </c>
      <c r="N2" s="1" t="n">
        <v>2</v>
      </c>
      <c r="O2" s="13" t="n">
        <v>2</v>
      </c>
      <c r="Q2" s="1" t="n">
        <f aca="false">TRUE()</f>
        <v>1</v>
      </c>
      <c r="R2" s="1" t="n">
        <f aca="false">TRUE()</f>
        <v>1</v>
      </c>
      <c r="S2" s="1" t="n">
        <f aca="false">FALSE()</f>
        <v>0</v>
      </c>
      <c r="T2" s="1" t="n">
        <f aca="false">FALSE()</f>
        <v>0</v>
      </c>
      <c r="U2" s="1" t="n">
        <f aca="false">FALSE()</f>
        <v>0</v>
      </c>
      <c r="V2" s="1" t="n">
        <f aca="false">TRUE()</f>
        <v>1</v>
      </c>
      <c r="W2" s="1" t="n">
        <f aca="false">FALSE()</f>
        <v>0</v>
      </c>
      <c r="X2" s="1" t="n">
        <f aca="false">FALSE()</f>
        <v>0</v>
      </c>
      <c r="Y2" s="1" t="n">
        <f aca="false">FALSE()</f>
        <v>0</v>
      </c>
      <c r="Z2" s="1" t="n">
        <f aca="false">FALSE()</f>
        <v>0</v>
      </c>
      <c r="AA2" s="1" t="n">
        <f aca="false">TRUE()</f>
        <v>1</v>
      </c>
      <c r="AB2" s="1" t="n">
        <f aca="false">TRUE()</f>
        <v>1</v>
      </c>
      <c r="AC2" s="1" t="n">
        <f aca="false">TRUE()</f>
        <v>1</v>
      </c>
      <c r="AD2" s="1" t="n">
        <f aca="false">TRUE()</f>
        <v>1</v>
      </c>
      <c r="AE2" s="1" t="n">
        <f aca="false">FALSE()</f>
        <v>0</v>
      </c>
      <c r="AF2" s="1" t="n">
        <f aca="false">FALSE()</f>
        <v>0</v>
      </c>
      <c r="AG2" s="1" t="n">
        <f aca="false">FALSE()</f>
        <v>0</v>
      </c>
      <c r="AH2" s="1" t="n">
        <f aca="false">FALSE()</f>
        <v>0</v>
      </c>
      <c r="AI2" s="1" t="n">
        <f aca="false">FALSE()</f>
        <v>0</v>
      </c>
      <c r="AJ2" s="1" t="n">
        <f aca="false">FALSE()</f>
        <v>0</v>
      </c>
      <c r="AK2" s="1" t="n">
        <f aca="false" t="array" ref="AK2:AK2">SUM(IF(Q2:U2,1,0))</f>
        <v>2</v>
      </c>
      <c r="AL2" s="14" t="n">
        <f aca="false" t="array" ref="AL2:AL2">SUM(IF(V2:Z2,1,0))</f>
        <v>1</v>
      </c>
      <c r="AM2" s="14" t="n">
        <f aca="false" t="array" ref="AM2:AM2">SUM(IF(AA2:AE2,1,0))</f>
        <v>4</v>
      </c>
      <c r="AN2" s="14" t="n">
        <f aca="false" t="array" ref="AN2:AN2">SUM(IF(AF2:AJ2,1,0))</f>
        <v>0</v>
      </c>
      <c r="AO2" s="1" t="n">
        <f aca="false">FALSE()</f>
        <v>0</v>
      </c>
      <c r="AP2" s="1" t="n">
        <f aca="false">IF(O2 = 2,COUNTIF(Q2:AJ2,"TRUE"),-1)</f>
        <v>7</v>
      </c>
    </row>
    <row r="3" customFormat="false" ht="15.75" hidden="false" customHeight="false" outlineLevel="0" collapsed="false">
      <c r="A3" s="8" t="e">
        <f aca="true">INDIRECT("'Ответы на форму (1)'!A"&amp;$N3,TRUE())</f>
        <v>#REF!</v>
      </c>
      <c r="B3" s="0" t="e">
        <f aca="true">INDIRECT("'Ответы на форму (1)'!B"&amp;$N3,TRUE())</f>
        <v>#REF!</v>
      </c>
      <c r="C3" s="0" t="e">
        <f aca="true">INDIRECT("'Ответы на форму (1)'!C"&amp;$N3,TRUE())</f>
        <v>#REF!</v>
      </c>
      <c r="D3" s="0" t="e">
        <f aca="true">INDIRECT("'Ответы на форму (1)'!D"&amp;$N3,TRUE())</f>
        <v>#REF!</v>
      </c>
      <c r="E3" s="0" t="n">
        <f aca="false">IFERROR(__xludf.dummyfunction("iferror(VALUE(REGEXEXTRACT(TEXT(INDIRECT(""'Ответы на форму (1)'!E""&amp;$N3,TRUE),""####""),""[0-9]+"")),IF(IFERROR(SEARCH(""моцро"",INDIRECT(""'Ответы на форму (1)'!E""&amp;$N3,TRUE)),-1) &gt;= 0,117,INDIRECT(""'Ответы на форму (1)'!E""&amp;$N3,TRUE)))"),117)</f>
        <v>117</v>
      </c>
      <c r="F3" s="0" t="e">
        <f aca="true">INDIRECT("'Ответы на форму (1)'!F"&amp;$N3,TRUE())</f>
        <v>#REF!</v>
      </c>
      <c r="G3" s="0" t="e">
        <f aca="true">IFERROR(MID(INDIRECT("'Ответы на форму (1)'!G"&amp;$N3,TRUE()),SEARCH("vk.com",INDIRECT("'Ответы на форму (1)'!G"&amp;$N3,TRUE())),LEN(INDIRECT("'Ответы на форму (1)'!G"&amp;$N3,TRUE()))),INDIRECT("'Ответы на форму (1)'!G"&amp;$N3,TRUE()))</f>
        <v>#REF!</v>
      </c>
      <c r="H3" s="0" t="e">
        <f aca="true">INDIRECT("'Ответы на форму (1)'!H"&amp;$N3,TRUE())</f>
        <v>#REF!</v>
      </c>
      <c r="I3" s="12" t="e">
        <f aca="true">INDIRECT("'Ответы на форму (1)'!I"&amp;$N3,TRUE())</f>
        <v>#REF!</v>
      </c>
      <c r="J3" s="12" t="e">
        <f aca="true">INDIRECT("'Ответы на форму (1)'!J"&amp;$N3,TRUE())</f>
        <v>#REF!</v>
      </c>
      <c r="K3" s="12" t="e">
        <f aca="true">INDIRECT("'Ответы на форму (1)'!K"&amp;$N3,TRUE())</f>
        <v>#REF!</v>
      </c>
      <c r="L3" s="12" t="e">
        <f aca="true">INDIRECT("'Ответы на форму (1)'!L"&amp;$N3,TRUE())</f>
        <v>#REF!</v>
      </c>
      <c r="M3" s="0" t="e">
        <f aca="false" t="array" ref="M3:M3">IF(B3 &lt;&gt; "",IF(COUNTIF(concat(TRIM('Список прошлого года'!$B$2:$B$200),TRIM('Список прошлого года'!$C$2:$C$200)),concat(TRIM(B3),TRIM(C3))) &gt; 0,"Да","Нет"),"")</f>
        <v>#REF!</v>
      </c>
      <c r="N3" s="1" t="n">
        <v>5</v>
      </c>
      <c r="O3" s="13" t="n">
        <v>2</v>
      </c>
      <c r="Q3" s="1" t="n">
        <f aca="false">TRUE()</f>
        <v>1</v>
      </c>
      <c r="R3" s="1" t="n">
        <f aca="false">FALSE()</f>
        <v>0</v>
      </c>
      <c r="S3" s="1" t="n">
        <f aca="false">FALSE()</f>
        <v>0</v>
      </c>
      <c r="T3" s="1" t="n">
        <f aca="false">FALSE()</f>
        <v>0</v>
      </c>
      <c r="U3" s="1" t="n">
        <f aca="false">FALSE()</f>
        <v>0</v>
      </c>
      <c r="V3" s="1" t="n">
        <f aca="false">TRUE()</f>
        <v>1</v>
      </c>
      <c r="W3" s="1" t="n">
        <f aca="false">FALSE()</f>
        <v>0</v>
      </c>
      <c r="X3" s="1" t="n">
        <f aca="false">FALSE()</f>
        <v>0</v>
      </c>
      <c r="Y3" s="1" t="n">
        <f aca="false">FALSE()</f>
        <v>0</v>
      </c>
      <c r="Z3" s="1" t="n">
        <f aca="false">FALSE()</f>
        <v>0</v>
      </c>
      <c r="AA3" s="1" t="n">
        <f aca="false">FALSE()</f>
        <v>0</v>
      </c>
      <c r="AB3" s="1" t="n">
        <f aca="false">FALSE()</f>
        <v>0</v>
      </c>
      <c r="AC3" s="1" t="n">
        <f aca="false">FALSE()</f>
        <v>0</v>
      </c>
      <c r="AD3" s="1" t="n">
        <f aca="false">FALSE()</f>
        <v>0</v>
      </c>
      <c r="AE3" s="1" t="n">
        <f aca="false">FALSE()</f>
        <v>0</v>
      </c>
      <c r="AF3" s="1" t="n">
        <f aca="false">FALSE()</f>
        <v>0</v>
      </c>
      <c r="AG3" s="1" t="n">
        <f aca="false">FALSE()</f>
        <v>0</v>
      </c>
      <c r="AH3" s="1" t="n">
        <f aca="false">FALSE()</f>
        <v>0</v>
      </c>
      <c r="AI3" s="1" t="n">
        <f aca="false">FALSE()</f>
        <v>0</v>
      </c>
      <c r="AJ3" s="1" t="n">
        <f aca="false">FALSE()</f>
        <v>0</v>
      </c>
      <c r="AK3" s="1" t="n">
        <f aca="false" t="array" ref="AK3:AK3">SUM(IF(Q3:U3,1,0))</f>
        <v>1</v>
      </c>
      <c r="AL3" s="14" t="n">
        <f aca="false" t="array" ref="AL3:AL3">SUM(IF(V3:Z3,1,0))</f>
        <v>1</v>
      </c>
      <c r="AM3" s="14" t="n">
        <f aca="false" t="array" ref="AM3:AM3">SUM(IF(AA3:AE3,1,0))</f>
        <v>0</v>
      </c>
      <c r="AN3" s="14" t="n">
        <f aca="false" t="array" ref="AN3:AN3">SUM(IF(AF3:AJ3,1,0))</f>
        <v>0</v>
      </c>
      <c r="AO3" s="1" t="n">
        <f aca="false">FALSE()</f>
        <v>0</v>
      </c>
      <c r="AP3" s="1" t="n">
        <f aca="false">IF(O3 = 2,COUNTIF(Q3:AJ3,"TRUE"),-1)</f>
        <v>2</v>
      </c>
    </row>
    <row r="4" customFormat="false" ht="15.75" hidden="false" customHeight="false" outlineLevel="0" collapsed="false">
      <c r="A4" s="8" t="e">
        <f aca="true">INDIRECT("'Ответы на форму (1)'!A"&amp;$N4,TRUE())</f>
        <v>#REF!</v>
      </c>
      <c r="B4" s="0" t="e">
        <f aca="true">INDIRECT("'Ответы на форму (1)'!B"&amp;$N4,TRUE())</f>
        <v>#REF!</v>
      </c>
      <c r="C4" s="0" t="e">
        <f aca="true">INDIRECT("'Ответы на форму (1)'!C"&amp;$N4,TRUE())</f>
        <v>#REF!</v>
      </c>
      <c r="D4" s="0" t="e">
        <f aca="true">INDIRECT("'Ответы на форму (1)'!D"&amp;$N4,TRUE())</f>
        <v>#REF!</v>
      </c>
      <c r="E4" s="0" t="n">
        <f aca="false">IFERROR(__xludf.dummyfunction("iferror(VALUE(REGEXEXTRACT(TEXT(INDIRECT(""'Ответы на форму (1)'!E""&amp;$N4,TRUE),""####""),""[0-9]+"")),IF(IFERROR(SEARCH(""моцро"",INDIRECT(""'Ответы на форму (1)'!E""&amp;$N4,TRUE)),-1) &gt;= 0,117,INDIRECT(""'Ответы на форму (1)'!E""&amp;$N4,TRUE)))"),117)</f>
        <v>117</v>
      </c>
      <c r="F4" s="0" t="e">
        <f aca="true">INDIRECT("'Ответы на форму (1)'!F"&amp;$N4,TRUE())</f>
        <v>#REF!</v>
      </c>
      <c r="G4" s="9" t="e">
        <f aca="true">IFERROR(MID(INDIRECT("'Ответы на форму (1)'!G"&amp;$N4,TRUE()),SEARCH("vk.com",INDIRECT("'Ответы на форму (1)'!G"&amp;$N4,TRUE())),LEN(INDIRECT("'Ответы на форму (1)'!G"&amp;$N4,TRUE()))),INDIRECT("'Ответы на форму (1)'!G"&amp;$N4,TRUE()))</f>
        <v>#REF!</v>
      </c>
      <c r="H4" s="0" t="e">
        <f aca="true">INDIRECT("'Ответы на форму (1)'!H"&amp;$N4,TRUE())</f>
        <v>#REF!</v>
      </c>
      <c r="I4" s="12" t="e">
        <f aca="true">INDIRECT("'Ответы на форму (1)'!I"&amp;$N4,TRUE())</f>
        <v>#REF!</v>
      </c>
      <c r="J4" s="12" t="e">
        <f aca="true">INDIRECT("'Ответы на форму (1)'!J"&amp;$N4,TRUE())</f>
        <v>#REF!</v>
      </c>
      <c r="K4" s="12" t="e">
        <f aca="true">INDIRECT("'Ответы на форму (1)'!K"&amp;$N4,TRUE())</f>
        <v>#REF!</v>
      </c>
      <c r="L4" s="12" t="e">
        <f aca="true">INDIRECT("'Ответы на форму (1)'!L"&amp;$N4,TRUE())</f>
        <v>#REF!</v>
      </c>
      <c r="M4" s="0" t="e">
        <f aca="false" t="array" ref="M4:M4">IF(B4 &lt;&gt; "",IF(COUNTIF(concat(TRIM('Список прошлого года'!$B$2:$B$200),TRIM('Список прошлого года'!$C$2:$C$200)),concat(TRIM(B4),TRIM(C4))) &gt; 0,"Да","Нет"),"")</f>
        <v>#REF!</v>
      </c>
      <c r="N4" s="1" t="n">
        <v>6</v>
      </c>
      <c r="O4" s="1" t="n">
        <v>2</v>
      </c>
      <c r="Q4" s="1" t="n">
        <f aca="false">TRUE()</f>
        <v>1</v>
      </c>
      <c r="R4" s="1" t="n">
        <f aca="false">TRUE()</f>
        <v>1</v>
      </c>
      <c r="S4" s="1" t="n">
        <f aca="false">TRUE()</f>
        <v>1</v>
      </c>
      <c r="T4" s="1" t="n">
        <f aca="false">TRUE()</f>
        <v>1</v>
      </c>
      <c r="U4" s="1" t="n">
        <f aca="false">TRUE()</f>
        <v>1</v>
      </c>
      <c r="V4" s="1" t="n">
        <f aca="false">TRUE()</f>
        <v>1</v>
      </c>
      <c r="W4" s="1" t="n">
        <f aca="false">TRUE()</f>
        <v>1</v>
      </c>
      <c r="X4" s="1" t="n">
        <f aca="false">TRUE()</f>
        <v>1</v>
      </c>
      <c r="Y4" s="1" t="n">
        <f aca="false">TRUE()</f>
        <v>1</v>
      </c>
      <c r="Z4" s="1" t="n">
        <f aca="false">TRUE()</f>
        <v>1</v>
      </c>
      <c r="AA4" s="1" t="n">
        <f aca="false">TRUE()</f>
        <v>1</v>
      </c>
      <c r="AB4" s="1" t="n">
        <f aca="false">TRUE()</f>
        <v>1</v>
      </c>
      <c r="AC4" s="1" t="n">
        <f aca="false">TRUE()</f>
        <v>1</v>
      </c>
      <c r="AD4" s="1" t="n">
        <f aca="false">TRUE()</f>
        <v>1</v>
      </c>
      <c r="AE4" s="1" t="n">
        <f aca="false">TRUE()</f>
        <v>1</v>
      </c>
      <c r="AF4" s="1" t="n">
        <f aca="false">TRUE()</f>
        <v>1</v>
      </c>
      <c r="AG4" s="1" t="n">
        <f aca="false">TRUE()</f>
        <v>1</v>
      </c>
      <c r="AH4" s="1" t="n">
        <f aca="false">FALSE()</f>
        <v>0</v>
      </c>
      <c r="AI4" s="1" t="n">
        <f aca="false">TRUE()</f>
        <v>1</v>
      </c>
      <c r="AJ4" s="1" t="n">
        <f aca="false">TRUE()</f>
        <v>1</v>
      </c>
      <c r="AK4" s="1" t="n">
        <f aca="false" t="array" ref="AK4:AK4">SUM(IF(Q4:U4,1,0))</f>
        <v>5</v>
      </c>
      <c r="AL4" s="14" t="n">
        <f aca="false" t="array" ref="AL4:AL4">SUM(IF(V4:Z4,1,0))</f>
        <v>5</v>
      </c>
      <c r="AM4" s="14" t="n">
        <f aca="false" t="array" ref="AM4:AM4">SUM(IF(AA4:AE4,1,0))</f>
        <v>5</v>
      </c>
      <c r="AN4" s="14" t="n">
        <f aca="false" t="array" ref="AN4:AN4">SUM(IF(AF4:AJ4,1,0))</f>
        <v>4</v>
      </c>
      <c r="AO4" s="1" t="n">
        <f aca="false">FALSE()</f>
        <v>0</v>
      </c>
      <c r="AP4" s="1" t="n">
        <f aca="false">IF(O4 = 2,COUNTIF(Q4:AJ4,"TRUE"),-1)</f>
        <v>19</v>
      </c>
    </row>
    <row r="5" customFormat="false" ht="15.75" hidden="false" customHeight="false" outlineLevel="0" collapsed="false">
      <c r="A5" s="15" t="e">
        <f aca="true">INDIRECT("'Ответы на форму (1)'!A"&amp;$N5,TRUE())</f>
        <v>#REF!</v>
      </c>
      <c r="B5" s="16" t="e">
        <f aca="true">INDIRECT("'Ответы на форму (1)'!B"&amp;$N5,TRUE())</f>
        <v>#REF!</v>
      </c>
      <c r="C5" s="16" t="e">
        <f aca="true">INDIRECT("'Ответы на форму (1)'!C"&amp;$N5,TRUE())</f>
        <v>#REF!</v>
      </c>
      <c r="D5" s="16" t="e">
        <f aca="true">INDIRECT("'Ответы на форму (1)'!D"&amp;$N5,TRUE())</f>
        <v>#REF!</v>
      </c>
      <c r="E5" s="16" t="n">
        <f aca="false">IFERROR(__xludf.dummyfunction("iferror(VALUE(REGEXEXTRACT(TEXT(INDIRECT(""'Ответы на форму (1)'!E""&amp;$N5,TRUE),""####""),""[0-9]+"")),IF(IFERROR(SEARCH(""моцро"",INDIRECT(""'Ответы на форму (1)'!E""&amp;$N5,TRUE)),-1) &gt;= 0,117,INDIRECT(""'Ответы на форму (1)'!E""&amp;$N5,TRUE)))"),64)</f>
        <v>64</v>
      </c>
      <c r="F5" s="16" t="e">
        <f aca="true">INDIRECT("'Ответы на форму (1)'!F"&amp;$N5,TRUE())</f>
        <v>#REF!</v>
      </c>
      <c r="G5" s="17" t="e">
        <f aca="true">IFERROR(MID(INDIRECT("'Ответы на форму (1)'!G"&amp;$N5,TRUE()),SEARCH("vk.com",INDIRECT("'Ответы на форму (1)'!G"&amp;$N5,TRUE())),LEN(INDIRECT("'Ответы на форму (1)'!G"&amp;$N5,TRUE()))),INDIRECT("'Ответы на форму (1)'!G"&amp;$N5,TRUE()))</f>
        <v>#REF!</v>
      </c>
      <c r="H5" s="16" t="e">
        <f aca="true">INDIRECT("'Ответы на форму (1)'!H"&amp;$N5,TRUE())</f>
        <v>#REF!</v>
      </c>
      <c r="I5" s="16" t="e">
        <f aca="true">INDIRECT("'Ответы на форму (1)'!I"&amp;$N5,TRUE())</f>
        <v>#REF!</v>
      </c>
      <c r="J5" s="16" t="e">
        <f aca="true">INDIRECT("'Ответы на форму (1)'!J"&amp;$N5,TRUE())</f>
        <v>#REF!</v>
      </c>
      <c r="K5" s="18" t="e">
        <f aca="true">INDIRECT("'Ответы на форму (1)'!K"&amp;$N5,TRUE())</f>
        <v>#REF!</v>
      </c>
      <c r="L5" s="16" t="e">
        <f aca="true">INDIRECT("'Ответы на форму (1)'!L"&amp;$N5,TRUE())</f>
        <v>#REF!</v>
      </c>
      <c r="M5" s="16" t="e">
        <f aca="false" t="array" ref="M5:M5">IF(B5 &lt;&gt; "",IF(COUNTIF(concat(TRIM('Список прошлого года'!$B$2:$B$200),TRIM('Список прошлого года'!$C$2:$C$200)),concat(TRIM(B5),TRIM(C5))) &gt; 0,"Да","Нет"),"")</f>
        <v>#REF!</v>
      </c>
      <c r="N5" s="19" t="n">
        <v>7</v>
      </c>
      <c r="O5" s="19" t="n">
        <v>2</v>
      </c>
      <c r="P5" s="16"/>
      <c r="Q5" s="19" t="n">
        <f aca="false">TRUE()</f>
        <v>1</v>
      </c>
      <c r="R5" s="19" t="n">
        <f aca="false">TRUE()</f>
        <v>1</v>
      </c>
      <c r="S5" s="19" t="n">
        <f aca="false">TRUE()</f>
        <v>1</v>
      </c>
      <c r="T5" s="19" t="n">
        <f aca="false">TRUE()</f>
        <v>1</v>
      </c>
      <c r="U5" s="19" t="n">
        <f aca="false">FALSE()</f>
        <v>0</v>
      </c>
      <c r="V5" s="19" t="n">
        <f aca="false">FALSE()</f>
        <v>0</v>
      </c>
      <c r="W5" s="19" t="n">
        <f aca="false">TRUE()</f>
        <v>1</v>
      </c>
      <c r="X5" s="19" t="n">
        <f aca="false">TRUE()</f>
        <v>1</v>
      </c>
      <c r="Y5" s="19" t="n">
        <f aca="false">TRUE()</f>
        <v>1</v>
      </c>
      <c r="Z5" s="19" t="n">
        <f aca="false">FALSE()</f>
        <v>0</v>
      </c>
      <c r="AA5" s="19" t="n">
        <f aca="false">TRUE()</f>
        <v>1</v>
      </c>
      <c r="AB5" s="19" t="n">
        <f aca="false">TRUE()</f>
        <v>1</v>
      </c>
      <c r="AC5" s="19" t="n">
        <f aca="false">TRUE()</f>
        <v>1</v>
      </c>
      <c r="AD5" s="19" t="n">
        <f aca="false">TRUE()</f>
        <v>1</v>
      </c>
      <c r="AE5" s="19" t="n">
        <f aca="false">FALSE()</f>
        <v>0</v>
      </c>
      <c r="AF5" s="19" t="n">
        <f aca="false">TRUE()</f>
        <v>1</v>
      </c>
      <c r="AG5" s="19" t="n">
        <f aca="false">TRUE()</f>
        <v>1</v>
      </c>
      <c r="AH5" s="19" t="n">
        <f aca="false">TRUE()</f>
        <v>1</v>
      </c>
      <c r="AI5" s="19" t="n">
        <f aca="false">FALSE()</f>
        <v>0</v>
      </c>
      <c r="AJ5" s="19" t="n">
        <f aca="false">FALSE()</f>
        <v>0</v>
      </c>
      <c r="AK5" s="19" t="n">
        <f aca="false" t="array" ref="AK5:AK5">SUM(IF(Q5:U5,1,0))</f>
        <v>4</v>
      </c>
      <c r="AL5" s="20" t="n">
        <f aca="false" t="array" ref="AL5:AL5">SUM(IF(V5:Z5,1,0))</f>
        <v>3</v>
      </c>
      <c r="AM5" s="20" t="n">
        <f aca="false" t="array" ref="AM5:AM5">SUM(IF(AA5:AE5,1,0))</f>
        <v>4</v>
      </c>
      <c r="AN5" s="20" t="n">
        <f aca="false" t="array" ref="AN5:AN5">SUM(IF(AF5:AJ5,1,0))</f>
        <v>3</v>
      </c>
      <c r="AO5" s="19" t="n">
        <f aca="false">TRUE()</f>
        <v>1</v>
      </c>
      <c r="AP5" s="1" t="n">
        <f aca="false">IF(O5 = 2,COUNTIF(Q5:AJ5,"TRUE"),-1)</f>
        <v>14</v>
      </c>
    </row>
    <row r="6" customFormat="false" ht="15.75" hidden="false" customHeight="false" outlineLevel="0" collapsed="false">
      <c r="A6" s="8" t="e">
        <f aca="true">INDIRECT("'Ответы на форму (1)'!A"&amp;$N6,TRUE())</f>
        <v>#REF!</v>
      </c>
      <c r="B6" s="0" t="e">
        <f aca="true">INDIRECT("'Ответы на форму (1)'!B"&amp;$N6,TRUE())</f>
        <v>#REF!</v>
      </c>
      <c r="C6" s="0" t="e">
        <f aca="true">INDIRECT("'Ответы на форму (1)'!C"&amp;$N6,TRUE())</f>
        <v>#REF!</v>
      </c>
      <c r="D6" s="0" t="e">
        <f aca="true">INDIRECT("'Ответы на форму (1)'!D"&amp;$N6,TRUE())</f>
        <v>#REF!</v>
      </c>
      <c r="E6" s="0" t="n">
        <f aca="false">IFERROR(__xludf.dummyfunction("iferror(VALUE(REGEXEXTRACT(TEXT(INDIRECT(""'Ответы на форму (1)'!E""&amp;$N6,TRUE),""####""),""[0-9]+"")),IF(IFERROR(SEARCH(""моцро"",INDIRECT(""'Ответы на форму (1)'!E""&amp;$N6,TRUE)),-1) &gt;= 0,117,INDIRECT(""'Ответы на форму (1)'!E""&amp;$N6,TRUE)))"),64)</f>
        <v>64</v>
      </c>
      <c r="F6" s="0" t="e">
        <f aca="true">INDIRECT("'Ответы на форму (1)'!F"&amp;$N6,TRUE())</f>
        <v>#REF!</v>
      </c>
      <c r="G6" s="9" t="e">
        <f aca="true">IFERROR(MID(INDIRECT("'Ответы на форму (1)'!G"&amp;$N6,TRUE()),SEARCH("vk.com",INDIRECT("'Ответы на форму (1)'!G"&amp;$N6,TRUE())),LEN(INDIRECT("'Ответы на форму (1)'!G"&amp;$N6,TRUE()))),INDIRECT("'Ответы на форму (1)'!G"&amp;$N6,TRUE()))</f>
        <v>#REF!</v>
      </c>
      <c r="H6" s="0" t="e">
        <f aca="true">INDIRECT("'Ответы на форму (1)'!H"&amp;$N6,TRUE())</f>
        <v>#REF!</v>
      </c>
      <c r="I6" s="12" t="e">
        <f aca="true">INDIRECT("'Ответы на форму (1)'!I"&amp;$N6,TRUE())</f>
        <v>#REF!</v>
      </c>
      <c r="J6" s="12" t="e">
        <f aca="true">INDIRECT("'Ответы на форму (1)'!J"&amp;$N6,TRUE())</f>
        <v>#REF!</v>
      </c>
      <c r="K6" s="12" t="e">
        <f aca="true">INDIRECT("'Ответы на форму (1)'!K"&amp;$N6,TRUE())</f>
        <v>#REF!</v>
      </c>
      <c r="L6" s="12" t="e">
        <f aca="true">INDIRECT("'Ответы на форму (1)'!L"&amp;$N6,TRUE())</f>
        <v>#REF!</v>
      </c>
      <c r="M6" s="0" t="e">
        <f aca="false" t="array" ref="M6:M6">IF(B6 &lt;&gt; "",IF(COUNTIF(concat(TRIM('Список прошлого года'!$B$2:$B$200),TRIM('Список прошлого года'!$C$2:$C$200)),concat(TRIM(B6),TRIM(C6))) &gt; 0,"Да","Нет"),"")</f>
        <v>#REF!</v>
      </c>
      <c r="N6" s="1" t="n">
        <v>8</v>
      </c>
      <c r="O6" s="13" t="n">
        <v>2</v>
      </c>
      <c r="P6" s="1" t="s">
        <v>781</v>
      </c>
      <c r="Q6" s="1" t="n">
        <f aca="false">FALSE()</f>
        <v>0</v>
      </c>
      <c r="R6" s="1" t="n">
        <f aca="false">FALSE()</f>
        <v>0</v>
      </c>
      <c r="S6" s="1" t="n">
        <f aca="false">FALSE()</f>
        <v>0</v>
      </c>
      <c r="T6" s="1" t="n">
        <f aca="false">FALSE()</f>
        <v>0</v>
      </c>
      <c r="U6" s="1" t="n">
        <f aca="false">FALSE()</f>
        <v>0</v>
      </c>
      <c r="V6" s="1" t="n">
        <f aca="false">FALSE()</f>
        <v>0</v>
      </c>
      <c r="W6" s="1" t="n">
        <f aca="false">FALSE()</f>
        <v>0</v>
      </c>
      <c r="X6" s="1" t="n">
        <f aca="false">FALSE()</f>
        <v>0</v>
      </c>
      <c r="Y6" s="1" t="n">
        <f aca="false">FALSE()</f>
        <v>0</v>
      </c>
      <c r="Z6" s="1" t="n">
        <f aca="false">FALSE()</f>
        <v>0</v>
      </c>
      <c r="AA6" s="1" t="n">
        <f aca="false">TRUE()</f>
        <v>1</v>
      </c>
      <c r="AB6" s="1" t="n">
        <f aca="false">TRUE()</f>
        <v>1</v>
      </c>
      <c r="AC6" s="1" t="n">
        <f aca="false">TRUE()</f>
        <v>1</v>
      </c>
      <c r="AD6" s="1" t="n">
        <f aca="false">TRUE()</f>
        <v>1</v>
      </c>
      <c r="AE6" s="1" t="n">
        <f aca="false">FALSE()</f>
        <v>0</v>
      </c>
      <c r="AF6" s="1" t="n">
        <f aca="false">TRUE()</f>
        <v>1</v>
      </c>
      <c r="AG6" s="1" t="n">
        <f aca="false">TRUE()</f>
        <v>1</v>
      </c>
      <c r="AH6" s="1" t="n">
        <f aca="false">TRUE()</f>
        <v>1</v>
      </c>
      <c r="AI6" s="1" t="n">
        <f aca="false">TRUE()</f>
        <v>1</v>
      </c>
      <c r="AJ6" s="1" t="n">
        <f aca="false">FALSE()</f>
        <v>0</v>
      </c>
      <c r="AK6" s="1" t="n">
        <f aca="false" t="array" ref="AK6:AK6">SUM(IF(Q6:U6,1,0))</f>
        <v>0</v>
      </c>
      <c r="AL6" s="14" t="n">
        <f aca="false" t="array" ref="AL6:AL6">SUM(IF(V6:Z6,1,0))</f>
        <v>0</v>
      </c>
      <c r="AM6" s="14" t="n">
        <f aca="false" t="array" ref="AM6:AM6">SUM(IF(AA6:AE6,1,0))</f>
        <v>4</v>
      </c>
      <c r="AN6" s="14" t="n">
        <f aca="false" t="array" ref="AN6:AN6">SUM(IF(AF6:AJ6,1,0))</f>
        <v>4</v>
      </c>
      <c r="AO6" s="1" t="n">
        <f aca="false">FALSE()</f>
        <v>0</v>
      </c>
      <c r="AP6" s="1" t="n">
        <f aca="false">IF(O6 = 2,COUNTIF(Q6:AJ6,"TRUE"),-1)</f>
        <v>8</v>
      </c>
    </row>
    <row r="7" customFormat="false" ht="15.75" hidden="false" customHeight="false" outlineLevel="0" collapsed="false">
      <c r="A7" s="15" t="e">
        <f aca="true">INDIRECT("'Ответы на форму (1)'!A"&amp;$N7,TRUE())</f>
        <v>#REF!</v>
      </c>
      <c r="B7" s="16" t="e">
        <f aca="true">INDIRECT("'Ответы на форму (1)'!B"&amp;$N7,TRUE())</f>
        <v>#REF!</v>
      </c>
      <c r="C7" s="16" t="e">
        <f aca="true">INDIRECT("'Ответы на форму (1)'!C"&amp;$N7,TRUE())</f>
        <v>#REF!</v>
      </c>
      <c r="D7" s="16" t="e">
        <f aca="true">INDIRECT("'Ответы на форму (1)'!D"&amp;$N7,TRUE())</f>
        <v>#REF!</v>
      </c>
      <c r="E7" s="16" t="n">
        <f aca="false">IFERROR(__xludf.dummyfunction("iferror(VALUE(REGEXEXTRACT(TEXT(INDIRECT(""'Ответы на форму (1)'!E""&amp;$N7,TRUE),""####""),""[0-9]+"")),IF(IFERROR(SEARCH(""моцро"",INDIRECT(""'Ответы на форму (1)'!E""&amp;$N7,TRUE)),-1) &gt;= 0,117,INDIRECT(""'Ответы на форму (1)'!E""&amp;$N7,TRUE)))"),150)</f>
        <v>150</v>
      </c>
      <c r="F7" s="16" t="e">
        <f aca="true">INDIRECT("'Ответы на форму (1)'!F"&amp;$N7,TRUE())</f>
        <v>#REF!</v>
      </c>
      <c r="G7" s="17" t="e">
        <f aca="true">IFERROR(MID(INDIRECT("'Ответы на форму (1)'!G"&amp;$N7,TRUE()),SEARCH("vk.com",INDIRECT("'Ответы на форму (1)'!G"&amp;$N7,TRUE())),LEN(INDIRECT("'Ответы на форму (1)'!G"&amp;$N7,TRUE()))),INDIRECT("'Ответы на форму (1)'!G"&amp;$N7,TRUE()))</f>
        <v>#REF!</v>
      </c>
      <c r="H7" s="16" t="e">
        <f aca="true">INDIRECT("'Ответы на форму (1)'!H"&amp;$N7,TRUE())</f>
        <v>#REF!</v>
      </c>
      <c r="I7" s="16" t="e">
        <f aca="true">INDIRECT("'Ответы на форму (1)'!I"&amp;$N7,TRUE())</f>
        <v>#REF!</v>
      </c>
      <c r="J7" s="16" t="e">
        <f aca="true">INDIRECT("'Ответы на форму (1)'!J"&amp;$N7,TRUE())</f>
        <v>#REF!</v>
      </c>
      <c r="K7" s="16" t="e">
        <f aca="true">INDIRECT("'Ответы на форму (1)'!K"&amp;$N7,TRUE())</f>
        <v>#REF!</v>
      </c>
      <c r="L7" s="16" t="e">
        <f aca="true">INDIRECT("'Ответы на форму (1)'!L"&amp;$N7,TRUE())</f>
        <v>#REF!</v>
      </c>
      <c r="M7" s="16" t="e">
        <f aca="false" t="array" ref="M7:M7">IF(B7 &lt;&gt; "",IF(COUNTIF(concat(TRIM('Список прошлого года'!$B$2:$B$200),TRIM('Список прошлого года'!$C$2:$C$200)),concat(TRIM(B7),TRIM(C7))) &gt; 0,"Да","Нет"),"")</f>
        <v>#REF!</v>
      </c>
      <c r="N7" s="19" t="n">
        <v>9</v>
      </c>
      <c r="O7" s="19" t="n">
        <v>2</v>
      </c>
      <c r="P7" s="16"/>
      <c r="Q7" s="19" t="n">
        <f aca="false">TRUE()</f>
        <v>1</v>
      </c>
      <c r="R7" s="19" t="n">
        <f aca="false">TRUE()</f>
        <v>1</v>
      </c>
      <c r="S7" s="19" t="n">
        <f aca="false">TRUE()</f>
        <v>1</v>
      </c>
      <c r="T7" s="19" t="n">
        <f aca="false">TRUE()</f>
        <v>1</v>
      </c>
      <c r="U7" s="19" t="n">
        <f aca="false">TRUE()</f>
        <v>1</v>
      </c>
      <c r="V7" s="19" t="n">
        <f aca="false">TRUE()</f>
        <v>1</v>
      </c>
      <c r="W7" s="19" t="n">
        <f aca="false">TRUE()</f>
        <v>1</v>
      </c>
      <c r="X7" s="19" t="n">
        <f aca="false">TRUE()</f>
        <v>1</v>
      </c>
      <c r="Y7" s="19" t="n">
        <f aca="false">TRUE()</f>
        <v>1</v>
      </c>
      <c r="Z7" s="19" t="n">
        <f aca="false">TRUE()</f>
        <v>1</v>
      </c>
      <c r="AA7" s="19" t="n">
        <f aca="false">TRUE()</f>
        <v>1</v>
      </c>
      <c r="AB7" s="19" t="n">
        <f aca="false">TRUE()</f>
        <v>1</v>
      </c>
      <c r="AC7" s="19" t="n">
        <f aca="false">TRUE()</f>
        <v>1</v>
      </c>
      <c r="AD7" s="19" t="n">
        <f aca="false">TRUE()</f>
        <v>1</v>
      </c>
      <c r="AE7" s="19" t="n">
        <f aca="false">TRUE()</f>
        <v>1</v>
      </c>
      <c r="AF7" s="19" t="n">
        <f aca="false">TRUE()</f>
        <v>1</v>
      </c>
      <c r="AG7" s="19" t="n">
        <f aca="false">TRUE()</f>
        <v>1</v>
      </c>
      <c r="AH7" s="19" t="n">
        <f aca="false">FALSE()</f>
        <v>0</v>
      </c>
      <c r="AI7" s="19" t="n">
        <f aca="false">TRUE()</f>
        <v>1</v>
      </c>
      <c r="AJ7" s="19" t="n">
        <f aca="false">TRUE()</f>
        <v>1</v>
      </c>
      <c r="AK7" s="19" t="n">
        <f aca="false" t="array" ref="AK7:AK7">SUM(IF(Q7:U7,1,0))</f>
        <v>5</v>
      </c>
      <c r="AL7" s="20" t="n">
        <f aca="false" t="array" ref="AL7:AL7">SUM(IF(V7:Z7,1,0))</f>
        <v>5</v>
      </c>
      <c r="AM7" s="20" t="n">
        <f aca="false" t="array" ref="AM7:AM7">SUM(IF(AA7:AE7,1,0))</f>
        <v>5</v>
      </c>
      <c r="AN7" s="20" t="n">
        <f aca="false" t="array" ref="AN7:AN7">SUM(IF(AF7:AJ7,1,0))</f>
        <v>4</v>
      </c>
      <c r="AO7" s="19" t="n">
        <f aca="false">TRUE()</f>
        <v>1</v>
      </c>
      <c r="AP7" s="1" t="n">
        <f aca="false">IF(O7 = 2,COUNTIF(Q7:AJ7,"TRUE"),-1)</f>
        <v>19</v>
      </c>
    </row>
    <row r="8" customFormat="false" ht="15.75" hidden="false" customHeight="false" outlineLevel="0" collapsed="false">
      <c r="A8" s="8" t="e">
        <f aca="true">INDIRECT("'Ответы на форму (1)'!A"&amp;$N8,TRUE())</f>
        <v>#REF!</v>
      </c>
      <c r="B8" s="0" t="e">
        <f aca="true">INDIRECT("'Ответы на форму (1)'!B"&amp;$N8,TRUE())</f>
        <v>#REF!</v>
      </c>
      <c r="C8" s="0" t="e">
        <f aca="true">INDIRECT("'Ответы на форму (1)'!C"&amp;$N8,TRUE())</f>
        <v>#REF!</v>
      </c>
      <c r="D8" s="0" t="e">
        <f aca="true">INDIRECT("'Ответы на форму (1)'!D"&amp;$N8,TRUE())</f>
        <v>#REF!</v>
      </c>
      <c r="E8" s="0" t="n">
        <f aca="false">IFERROR(__xludf.dummyfunction("iferror(VALUE(REGEXEXTRACT(TEXT(INDIRECT(""'Ответы на форму (1)'!E""&amp;$N8,TRUE),""####""),""[0-9]+"")),IF(IFERROR(SEARCH(""моцро"",INDIRECT(""'Ответы на форму (1)'!E""&amp;$N8,TRUE)),-1) &gt;= 0,117,INDIRECT(""'Ответы на форму (1)'!E""&amp;$N8,TRUE)))"),64)</f>
        <v>64</v>
      </c>
      <c r="F8" s="0" t="e">
        <f aca="true">INDIRECT("'Ответы на форму (1)'!F"&amp;$N8,TRUE())</f>
        <v>#REF!</v>
      </c>
      <c r="G8" s="9" t="e">
        <f aca="true">IFERROR(MID(INDIRECT("'Ответы на форму (1)'!G"&amp;$N8,TRUE()),SEARCH("vk.com",INDIRECT("'Ответы на форму (1)'!G"&amp;$N8,TRUE())),LEN(INDIRECT("'Ответы на форму (1)'!G"&amp;$N8,TRUE()))),INDIRECT("'Ответы на форму (1)'!G"&amp;$N8,TRUE()))</f>
        <v>#REF!</v>
      </c>
      <c r="H8" s="0" t="e">
        <f aca="true">INDIRECT("'Ответы на форму (1)'!H"&amp;$N8,TRUE())</f>
        <v>#REF!</v>
      </c>
      <c r="I8" s="12" t="e">
        <f aca="true">INDIRECT("'Ответы на форму (1)'!I"&amp;$N8,TRUE())</f>
        <v>#REF!</v>
      </c>
      <c r="J8" s="12" t="e">
        <f aca="true">INDIRECT("'Ответы на форму (1)'!J"&amp;$N8,TRUE())</f>
        <v>#REF!</v>
      </c>
      <c r="K8" s="12" t="e">
        <f aca="true">INDIRECT("'Ответы на форму (1)'!K"&amp;$N8,TRUE())</f>
        <v>#REF!</v>
      </c>
      <c r="L8" s="12" t="e">
        <f aca="true">INDIRECT("'Ответы на форму (1)'!L"&amp;$N8,TRUE())</f>
        <v>#REF!</v>
      </c>
      <c r="M8" s="0" t="e">
        <f aca="false" t="array" ref="M8:M8">IF(B8 &lt;&gt; "",IF(COUNTIF(concat(TRIM('Список прошлого года'!$B$2:$B$200),TRIM('Список прошлого года'!$C$2:$C$200)),concat(TRIM(B8),TRIM(C8))) &gt; 0,"Да","Нет"),"")</f>
        <v>#REF!</v>
      </c>
      <c r="N8" s="1" t="n">
        <v>10</v>
      </c>
      <c r="O8" s="13" t="n">
        <v>2</v>
      </c>
      <c r="Q8" s="1" t="n">
        <f aca="false">TRUE()</f>
        <v>1</v>
      </c>
      <c r="R8" s="1" t="n">
        <f aca="false">TRUE()</f>
        <v>1</v>
      </c>
      <c r="S8" s="1" t="n">
        <f aca="false">FALSE()</f>
        <v>0</v>
      </c>
      <c r="T8" s="1" t="n">
        <f aca="false">TRUE()</f>
        <v>1</v>
      </c>
      <c r="U8" s="1" t="n">
        <f aca="false">FALSE()</f>
        <v>0</v>
      </c>
      <c r="V8" s="1" t="n">
        <f aca="false">TRUE()</f>
        <v>1</v>
      </c>
      <c r="W8" s="1" t="n">
        <f aca="false">TRUE()</f>
        <v>1</v>
      </c>
      <c r="X8" s="1" t="n">
        <f aca="false">FALSE()</f>
        <v>0</v>
      </c>
      <c r="Y8" s="1" t="n">
        <f aca="false">TRUE()</f>
        <v>1</v>
      </c>
      <c r="Z8" s="1" t="n">
        <f aca="false">FALSE()</f>
        <v>0</v>
      </c>
      <c r="AA8" s="1" t="n">
        <f aca="false">FALSE()</f>
        <v>0</v>
      </c>
      <c r="AB8" s="1" t="n">
        <f aca="false">FALSE()</f>
        <v>0</v>
      </c>
      <c r="AC8" s="1" t="n">
        <f aca="false">FALSE()</f>
        <v>0</v>
      </c>
      <c r="AD8" s="1" t="n">
        <f aca="false">FALSE()</f>
        <v>0</v>
      </c>
      <c r="AE8" s="1" t="n">
        <f aca="false">FALSE()</f>
        <v>0</v>
      </c>
      <c r="AF8" s="1" t="n">
        <f aca="false">FALSE()</f>
        <v>0</v>
      </c>
      <c r="AG8" s="1" t="n">
        <f aca="false">FALSE()</f>
        <v>0</v>
      </c>
      <c r="AH8" s="1" t="n">
        <f aca="false">FALSE()</f>
        <v>0</v>
      </c>
      <c r="AI8" s="1" t="n">
        <f aca="false">FALSE()</f>
        <v>0</v>
      </c>
      <c r="AJ8" s="1" t="n">
        <f aca="false">TRUE()</f>
        <v>1</v>
      </c>
      <c r="AK8" s="1" t="n">
        <f aca="false" t="array" ref="AK8:AK8">SUM(IF(Q8:U8,1,0))</f>
        <v>3</v>
      </c>
      <c r="AL8" s="14" t="n">
        <f aca="false" t="array" ref="AL8:AL8">SUM(IF(V8:Z8,1,0))</f>
        <v>3</v>
      </c>
      <c r="AM8" s="14" t="n">
        <f aca="false" t="array" ref="AM8:AM8">SUM(IF(AA8:AE8,1,0))</f>
        <v>0</v>
      </c>
      <c r="AN8" s="14" t="n">
        <f aca="false" t="array" ref="AN8:AN8">SUM(IF(AF8:AJ8,1,0))</f>
        <v>1</v>
      </c>
      <c r="AO8" s="1" t="n">
        <f aca="false">FALSE()</f>
        <v>0</v>
      </c>
      <c r="AP8" s="1" t="n">
        <f aca="false">IF(O8 = 2,COUNTIF(Q8:AJ8,"TRUE"),-1)</f>
        <v>7</v>
      </c>
    </row>
    <row r="9" customFormat="false" ht="15.75" hidden="false" customHeight="false" outlineLevel="0" collapsed="false">
      <c r="A9" s="8" t="e">
        <f aca="true">INDIRECT("'Ответы на форму (1)'!A"&amp;$N9,TRUE())</f>
        <v>#REF!</v>
      </c>
      <c r="B9" s="0" t="e">
        <f aca="true">INDIRECT("'Ответы на форму (1)'!B"&amp;$N9,TRUE())</f>
        <v>#REF!</v>
      </c>
      <c r="C9" s="0" t="e">
        <f aca="true">INDIRECT("'Ответы на форму (1)'!C"&amp;$N9,TRUE())</f>
        <v>#REF!</v>
      </c>
      <c r="D9" s="0" t="e">
        <f aca="true">INDIRECT("'Ответы на форму (1)'!D"&amp;$N9,TRUE())</f>
        <v>#REF!</v>
      </c>
      <c r="E9" s="0" t="n">
        <f aca="false">IFERROR(__xludf.dummyfunction("iferror(VALUE(REGEXEXTRACT(TEXT(INDIRECT(""'Ответы на форму (1)'!E""&amp;$N9,TRUE),""####""),""[0-9]+"")),IF(IFERROR(SEARCH(""моцро"",INDIRECT(""'Ответы на форму (1)'!E""&amp;$N9,TRUE)),-1) &gt;= 0,117,INDIRECT(""'Ответы на форму (1)'!E""&amp;$N9,TRUE)))"),64)</f>
        <v>64</v>
      </c>
      <c r="F9" s="0" t="e">
        <f aca="true">INDIRECT("'Ответы на форму (1)'!F"&amp;$N9,TRUE())</f>
        <v>#REF!</v>
      </c>
      <c r="G9" s="9" t="e">
        <f aca="true">IFERROR(MID(INDIRECT("'Ответы на форму (1)'!G"&amp;$N9,TRUE()),SEARCH("vk.com",INDIRECT("'Ответы на форму (1)'!G"&amp;$N9,TRUE())),LEN(INDIRECT("'Ответы на форму (1)'!G"&amp;$N9,TRUE()))),INDIRECT("'Ответы на форму (1)'!G"&amp;$N9,TRUE()))</f>
        <v>#REF!</v>
      </c>
      <c r="I9" s="12" t="e">
        <f aca="true">INDIRECT("'Ответы на форму (1)'!I"&amp;$N9,TRUE())</f>
        <v>#REF!</v>
      </c>
      <c r="J9" s="12" t="e">
        <f aca="true">INDIRECT("'Ответы на форму (1)'!J"&amp;$N9,TRUE())</f>
        <v>#REF!</v>
      </c>
      <c r="K9" s="12" t="e">
        <f aca="true">INDIRECT("'Ответы на форму (1)'!K"&amp;$N9,TRUE())</f>
        <v>#REF!</v>
      </c>
      <c r="L9" s="12" t="e">
        <f aca="true">INDIRECT("'Ответы на форму (1)'!L"&amp;$N9,TRUE())</f>
        <v>#REF!</v>
      </c>
      <c r="M9" s="0" t="e">
        <f aca="false" t="array" ref="M9:M9">IF(B9 &lt;&gt; "",IF(COUNTIF(concat(TRIM('Список прошлого года'!$B$2:$B$200),TRIM('Список прошлого года'!$C$2:$C$200)),concat(TRIM(B9),TRIM(C9))) &gt; 0,"Да","Нет"),"")</f>
        <v>#REF!</v>
      </c>
      <c r="N9" s="1" t="n">
        <v>11</v>
      </c>
      <c r="O9" s="13" t="n">
        <v>2</v>
      </c>
      <c r="Q9" s="1" t="n">
        <f aca="false">TRUE()</f>
        <v>1</v>
      </c>
      <c r="R9" s="1" t="n">
        <f aca="false">TRUE()</f>
        <v>1</v>
      </c>
      <c r="S9" s="1" t="n">
        <f aca="false">TRUE()</f>
        <v>1</v>
      </c>
      <c r="T9" s="1" t="n">
        <f aca="false">TRUE()</f>
        <v>1</v>
      </c>
      <c r="U9" s="1" t="n">
        <f aca="false">TRUE()</f>
        <v>1</v>
      </c>
      <c r="V9" s="1" t="n">
        <f aca="false">TRUE()</f>
        <v>1</v>
      </c>
      <c r="W9" s="1" t="n">
        <f aca="false">FALSE()</f>
        <v>0</v>
      </c>
      <c r="X9" s="1" t="n">
        <f aca="false">TRUE()</f>
        <v>1</v>
      </c>
      <c r="Y9" s="1" t="n">
        <f aca="false">TRUE()</f>
        <v>1</v>
      </c>
      <c r="Z9" s="1" t="n">
        <f aca="false">TRUE()</f>
        <v>1</v>
      </c>
      <c r="AA9" s="1" t="n">
        <f aca="false">TRUE()</f>
        <v>1</v>
      </c>
      <c r="AB9" s="1" t="n">
        <f aca="false">TRUE()</f>
        <v>1</v>
      </c>
      <c r="AC9" s="1" t="n">
        <f aca="false">FALSE()</f>
        <v>0</v>
      </c>
      <c r="AD9" s="1" t="n">
        <f aca="false">FALSE()</f>
        <v>0</v>
      </c>
      <c r="AE9" s="1" t="n">
        <f aca="false">FALSE()</f>
        <v>0</v>
      </c>
      <c r="AF9" s="1" t="n">
        <f aca="false">TRUE()</f>
        <v>1</v>
      </c>
      <c r="AG9" s="1" t="n">
        <f aca="false">FALSE()</f>
        <v>0</v>
      </c>
      <c r="AH9" s="1" t="n">
        <f aca="false">FALSE()</f>
        <v>0</v>
      </c>
      <c r="AI9" s="1" t="n">
        <f aca="false">FALSE()</f>
        <v>0</v>
      </c>
      <c r="AJ9" s="1" t="n">
        <f aca="false">FALSE()</f>
        <v>0</v>
      </c>
      <c r="AK9" s="1" t="n">
        <f aca="false" t="array" ref="AK9:AK9">SUM(IF(Q9:U9,1,0))</f>
        <v>5</v>
      </c>
      <c r="AL9" s="14" t="n">
        <f aca="false" t="array" ref="AL9:AL9">SUM(IF(V9:Z9,1,0))</f>
        <v>4</v>
      </c>
      <c r="AM9" s="14" t="n">
        <f aca="false" t="array" ref="AM9:AM9">SUM(IF(AA9:AE9,1,0))</f>
        <v>2</v>
      </c>
      <c r="AN9" s="14" t="n">
        <f aca="false" t="array" ref="AN9:AN9">SUM(IF(AF9:AJ9,1,0))</f>
        <v>1</v>
      </c>
      <c r="AO9" s="1" t="n">
        <f aca="false">FALSE()</f>
        <v>0</v>
      </c>
      <c r="AP9" s="1" t="n">
        <f aca="false">IF(O9 = 2,COUNTIF(Q9:AJ9,"TRUE"),-1)</f>
        <v>12</v>
      </c>
    </row>
    <row r="10" customFormat="false" ht="15.75" hidden="false" customHeight="false" outlineLevel="0" collapsed="false">
      <c r="A10" s="8" t="e">
        <f aca="true">INDIRECT("'Ответы на форму (1)'!A"&amp;$N10,TRUE())</f>
        <v>#REF!</v>
      </c>
      <c r="B10" s="0" t="e">
        <f aca="true">INDIRECT("'Ответы на форму (1)'!B"&amp;$N10,TRUE())</f>
        <v>#REF!</v>
      </c>
      <c r="C10" s="0" t="e">
        <f aca="true">INDIRECT("'Ответы на форму (1)'!C"&amp;$N10,TRUE())</f>
        <v>#REF!</v>
      </c>
      <c r="D10" s="0" t="e">
        <f aca="true">INDIRECT("'Ответы на форму (1)'!D"&amp;$N10,TRUE())</f>
        <v>#REF!</v>
      </c>
      <c r="E10" s="0" t="n">
        <f aca="false">IFERROR(__xludf.dummyfunction("iferror(VALUE(REGEXEXTRACT(TEXT(INDIRECT(""'Ответы на форму (1)'!E""&amp;$N10,TRUE),""####""),""[0-9]+"")),IF(IFERROR(SEARCH(""моцро"",INDIRECT(""'Ответы на форму (1)'!E""&amp;$N10,TRUE)),-1) &gt;= 0,117,INDIRECT(""'Ответы на форму (1)'!E""&amp;$N10,TRUE)))"),62)</f>
        <v>62</v>
      </c>
      <c r="F10" s="0" t="e">
        <f aca="true">INDIRECT("'Ответы на форму (1)'!F"&amp;$N10,TRUE())</f>
        <v>#REF!</v>
      </c>
      <c r="G10" s="9" t="e">
        <f aca="true">IFERROR(MID(INDIRECT("'Ответы на форму (1)'!G"&amp;$N10,TRUE()),SEARCH("vk.com",INDIRECT("'Ответы на форму (1)'!G"&amp;$N10,TRUE())),LEN(INDIRECT("'Ответы на форму (1)'!G"&amp;$N10,TRUE()))),INDIRECT("'Ответы на форму (1)'!G"&amp;$N10,TRUE()))</f>
        <v>#REF!</v>
      </c>
      <c r="H10" s="0" t="e">
        <f aca="true">INDIRECT("'Ответы на форму (1)'!H"&amp;$N10,TRUE())</f>
        <v>#REF!</v>
      </c>
      <c r="I10" s="12" t="e">
        <f aca="true">INDIRECT("'Ответы на форму (1)'!I"&amp;$N10,TRUE())</f>
        <v>#REF!</v>
      </c>
      <c r="J10" s="12" t="e">
        <f aca="true">INDIRECT("'Ответы на форму (1)'!J"&amp;$N10,TRUE())</f>
        <v>#REF!</v>
      </c>
      <c r="K10" s="12" t="e">
        <f aca="true">INDIRECT("'Ответы на форму (1)'!K"&amp;$N10,TRUE())</f>
        <v>#REF!</v>
      </c>
      <c r="L10" s="12" t="e">
        <f aca="true">INDIRECT("'Ответы на форму (1)'!L"&amp;$N10,TRUE())</f>
        <v>#REF!</v>
      </c>
      <c r="M10" s="0" t="e">
        <f aca="false" t="array" ref="M10:M10">IF(B10 &lt;&gt; "",IF(COUNTIF(concat(TRIM('Список прошлого года'!$B$2:$B$200),TRIM('Список прошлого года'!$C$2:$C$200)),concat(TRIM(B10),TRIM(C10))) &gt; 0,"Да","Нет"),"")</f>
        <v>#REF!</v>
      </c>
      <c r="N10" s="1" t="n">
        <v>12</v>
      </c>
      <c r="O10" s="13" t="n">
        <v>2</v>
      </c>
      <c r="Q10" s="1" t="n">
        <f aca="false">FALSE()</f>
        <v>0</v>
      </c>
      <c r="R10" s="1" t="n">
        <f aca="false">FALSE()</f>
        <v>0</v>
      </c>
      <c r="S10" s="1" t="n">
        <f aca="false">FALSE()</f>
        <v>0</v>
      </c>
      <c r="T10" s="1" t="n">
        <f aca="false">TRUE()</f>
        <v>1</v>
      </c>
      <c r="U10" s="1" t="n">
        <f aca="false">TRUE()</f>
        <v>1</v>
      </c>
      <c r="V10" s="1" t="n">
        <f aca="false">FALSE()</f>
        <v>0</v>
      </c>
      <c r="W10" s="1" t="n">
        <f aca="false">FALSE()</f>
        <v>0</v>
      </c>
      <c r="X10" s="1" t="n">
        <f aca="false">FALSE()</f>
        <v>0</v>
      </c>
      <c r="Y10" s="1" t="n">
        <f aca="false">TRUE()</f>
        <v>1</v>
      </c>
      <c r="Z10" s="1" t="n">
        <f aca="false">TRUE()</f>
        <v>1</v>
      </c>
      <c r="AA10" s="1" t="n">
        <f aca="false">TRUE()</f>
        <v>1</v>
      </c>
      <c r="AB10" s="1" t="n">
        <f aca="false">FALSE()</f>
        <v>0</v>
      </c>
      <c r="AC10" s="1" t="n">
        <f aca="false">FALSE()</f>
        <v>0</v>
      </c>
      <c r="AD10" s="1" t="n">
        <f aca="false">FALSE()</f>
        <v>0</v>
      </c>
      <c r="AE10" s="1" t="n">
        <f aca="false">FALSE()</f>
        <v>0</v>
      </c>
      <c r="AF10" s="1" t="n">
        <f aca="false">TRUE()</f>
        <v>1</v>
      </c>
      <c r="AG10" s="1" t="n">
        <f aca="false">FALSE()</f>
        <v>0</v>
      </c>
      <c r="AH10" s="1" t="n">
        <f aca="false">FALSE()</f>
        <v>0</v>
      </c>
      <c r="AI10" s="1" t="n">
        <f aca="false">FALSE()</f>
        <v>0</v>
      </c>
      <c r="AJ10" s="1" t="n">
        <f aca="false">FALSE()</f>
        <v>0</v>
      </c>
      <c r="AK10" s="1" t="n">
        <f aca="false" t="array" ref="AK10:AK10">SUM(IF(Q10:U10,1,0))</f>
        <v>2</v>
      </c>
      <c r="AL10" s="14" t="n">
        <f aca="false" t="array" ref="AL10:AL10">SUM(IF(V10:Z10,1,0))</f>
        <v>2</v>
      </c>
      <c r="AM10" s="14" t="n">
        <f aca="false" t="array" ref="AM10:AM10">SUM(IF(AA10:AE10,1,0))</f>
        <v>1</v>
      </c>
      <c r="AN10" s="14" t="n">
        <f aca="false" t="array" ref="AN10:AN10">SUM(IF(AF10:AJ10,1,0))</f>
        <v>1</v>
      </c>
      <c r="AO10" s="1" t="n">
        <f aca="false">FALSE()</f>
        <v>0</v>
      </c>
      <c r="AP10" s="1" t="n">
        <f aca="false">IF(O10 = 2,COUNTIF(Q10:AJ10,"TRUE"),-1)</f>
        <v>6</v>
      </c>
    </row>
    <row r="11" customFormat="false" ht="15.75" hidden="false" customHeight="false" outlineLevel="0" collapsed="false">
      <c r="A11" s="8" t="e">
        <f aca="true">INDIRECT("'Ответы на форму (1)'!A"&amp;$N11,TRUE())</f>
        <v>#REF!</v>
      </c>
      <c r="B11" s="0" t="e">
        <f aca="true">INDIRECT("'Ответы на форму (1)'!B"&amp;$N11,TRUE())</f>
        <v>#REF!</v>
      </c>
      <c r="C11" s="0" t="e">
        <f aca="true">INDIRECT("'Ответы на форму (1)'!C"&amp;$N11,TRUE())</f>
        <v>#REF!</v>
      </c>
      <c r="D11" s="0" t="e">
        <f aca="true">INDIRECT("'Ответы на форму (1)'!D"&amp;$N11,TRUE())</f>
        <v>#REF!</v>
      </c>
      <c r="E11" s="0" t="n">
        <f aca="false">IFERROR(__xludf.dummyfunction("iferror(VALUE(REGEXEXTRACT(TEXT(INDIRECT(""'Ответы на форму (1)'!E""&amp;$N11,TRUE),""####""),""[0-9]+"")),IF(IFERROR(SEARCH(""моцро"",INDIRECT(""'Ответы на форму (1)'!E""&amp;$N11,TRUE)),-1) &gt;= 0,117,INDIRECT(""'Ответы на форму (1)'!E""&amp;$N11,TRUE)))"),64)</f>
        <v>64</v>
      </c>
      <c r="F11" s="0" t="e">
        <f aca="true">INDIRECT("'Ответы на форму (1)'!F"&amp;$N11,TRUE())</f>
        <v>#REF!</v>
      </c>
      <c r="G11" s="9" t="e">
        <f aca="true">IFERROR(MID(INDIRECT("'Ответы на форму (1)'!G"&amp;$N11,TRUE()),SEARCH("vk.com",INDIRECT("'Ответы на форму (1)'!G"&amp;$N11,TRUE())),LEN(INDIRECT("'Ответы на форму (1)'!G"&amp;$N11,TRUE()))),INDIRECT("'Ответы на форму (1)'!G"&amp;$N11,TRUE()))</f>
        <v>#REF!</v>
      </c>
      <c r="H11" s="0" t="e">
        <f aca="true">INDIRECT("'Ответы на форму (1)'!H"&amp;$N11,TRUE())</f>
        <v>#REF!</v>
      </c>
      <c r="I11" s="12" t="e">
        <f aca="true">INDIRECT("'Ответы на форму (1)'!I"&amp;$N11,TRUE())</f>
        <v>#REF!</v>
      </c>
      <c r="J11" s="12" t="e">
        <f aca="true">INDIRECT("'Ответы на форму (1)'!J"&amp;$N11,TRUE())</f>
        <v>#REF!</v>
      </c>
      <c r="K11" s="12" t="e">
        <f aca="true">INDIRECT("'Ответы на форму (1)'!K"&amp;$N11,TRUE())</f>
        <v>#REF!</v>
      </c>
      <c r="L11" s="12" t="e">
        <f aca="true">INDIRECT("'Ответы на форму (1)'!L"&amp;$N11,TRUE())</f>
        <v>#REF!</v>
      </c>
      <c r="M11" s="0" t="e">
        <f aca="false" t="array" ref="M11:M11">IF(B11 &lt;&gt; "",IF(COUNTIF(concat(TRIM('Список прошлого года'!$B$2:$B$200),TRIM('Список прошлого года'!$C$2:$C$200)),concat(TRIM(B11),TRIM(C11))) &gt; 0,"Да","Нет"),"")</f>
        <v>#REF!</v>
      </c>
      <c r="N11" s="1" t="n">
        <v>13</v>
      </c>
      <c r="O11" s="13" t="n">
        <v>2</v>
      </c>
      <c r="Q11" s="1" t="n">
        <f aca="false">TRUE()</f>
        <v>1</v>
      </c>
      <c r="R11" s="1" t="n">
        <f aca="false">TRUE()</f>
        <v>1</v>
      </c>
      <c r="S11" s="1" t="n">
        <f aca="false">TRUE()</f>
        <v>1</v>
      </c>
      <c r="T11" s="1" t="n">
        <f aca="false">TRUE()</f>
        <v>1</v>
      </c>
      <c r="U11" s="1" t="n">
        <f aca="false">TRUE()</f>
        <v>1</v>
      </c>
      <c r="V11" s="1" t="n">
        <f aca="false">TRUE()</f>
        <v>1</v>
      </c>
      <c r="W11" s="1" t="n">
        <f aca="false">TRUE()</f>
        <v>1</v>
      </c>
      <c r="X11" s="1" t="n">
        <f aca="false">TRUE()</f>
        <v>1</v>
      </c>
      <c r="Y11" s="1" t="n">
        <f aca="false">TRUE()</f>
        <v>1</v>
      </c>
      <c r="Z11" s="1" t="n">
        <f aca="false">TRUE()</f>
        <v>1</v>
      </c>
      <c r="AA11" s="1" t="n">
        <f aca="false">TRUE()</f>
        <v>1</v>
      </c>
      <c r="AB11" s="1" t="n">
        <f aca="false">TRUE()</f>
        <v>1</v>
      </c>
      <c r="AC11" s="1" t="n">
        <f aca="false">TRUE()</f>
        <v>1</v>
      </c>
      <c r="AD11" s="1" t="n">
        <f aca="false">FALSE()</f>
        <v>0</v>
      </c>
      <c r="AE11" s="1" t="n">
        <f aca="false">FALSE()</f>
        <v>0</v>
      </c>
      <c r="AF11" s="1" t="n">
        <f aca="false">TRUE()</f>
        <v>1</v>
      </c>
      <c r="AG11" s="1" t="n">
        <f aca="false">TRUE()</f>
        <v>1</v>
      </c>
      <c r="AH11" s="1" t="n">
        <f aca="false">TRUE()</f>
        <v>1</v>
      </c>
      <c r="AI11" s="1" t="n">
        <f aca="false">FALSE()</f>
        <v>0</v>
      </c>
      <c r="AJ11" s="1" t="n">
        <f aca="false">TRUE()</f>
        <v>1</v>
      </c>
      <c r="AK11" s="1" t="n">
        <f aca="false" t="array" ref="AK11:AK11">SUM(IF(Q11:U11,1,0))</f>
        <v>5</v>
      </c>
      <c r="AL11" s="14" t="n">
        <f aca="false" t="array" ref="AL11:AL11">SUM(IF(V11:Z11,1,0))</f>
        <v>5</v>
      </c>
      <c r="AM11" s="14" t="n">
        <f aca="false" t="array" ref="AM11:AM11">SUM(IF(AA11:AE11,1,0))</f>
        <v>3</v>
      </c>
      <c r="AN11" s="14" t="n">
        <f aca="false" t="array" ref="AN11:AN11">SUM(IF(AF11:AJ11,1,0))</f>
        <v>4</v>
      </c>
      <c r="AO11" s="1" t="n">
        <f aca="false">FALSE()</f>
        <v>0</v>
      </c>
      <c r="AP11" s="1" t="n">
        <f aca="false">IF(O11 = 2,COUNTIF(Q11:AJ11,"TRUE"),-1)</f>
        <v>17</v>
      </c>
    </row>
    <row r="12" customFormat="false" ht="15.75" hidden="false" customHeight="false" outlineLevel="0" collapsed="false">
      <c r="A12" s="8" t="e">
        <f aca="true">INDIRECT("'Ответы на форму (1)'!A"&amp;$N12,TRUE())</f>
        <v>#REF!</v>
      </c>
      <c r="B12" s="0" t="e">
        <f aca="true">INDIRECT("'Ответы на форму (1)'!B"&amp;$N12,TRUE())</f>
        <v>#REF!</v>
      </c>
      <c r="C12" s="0" t="e">
        <f aca="true">INDIRECT("'Ответы на форму (1)'!C"&amp;$N12,TRUE())</f>
        <v>#REF!</v>
      </c>
      <c r="D12" s="0" t="e">
        <f aca="true">INDIRECT("'Ответы на форму (1)'!D"&amp;$N12,TRUE())</f>
        <v>#REF!</v>
      </c>
      <c r="E12" s="0" t="n">
        <f aca="false">IFERROR(__xludf.dummyfunction("iferror(VALUE(REGEXEXTRACT(TEXT(INDIRECT(""'Ответы на форму (1)'!E""&amp;$N12,TRUE),""####""),""[0-9]+"")),IF(IFERROR(SEARCH(""моцро"",INDIRECT(""'Ответы на форму (1)'!E""&amp;$N12,TRUE)),-1) &gt;= 0,117,INDIRECT(""'Ответы на форму (1)'!E""&amp;$N12,TRUE)))"),117)</f>
        <v>117</v>
      </c>
      <c r="F12" s="0" t="e">
        <f aca="true">INDIRECT("'Ответы на форму (1)'!F"&amp;$N12,TRUE())</f>
        <v>#REF!</v>
      </c>
      <c r="G12" s="0" t="e">
        <f aca="true">IFERROR(MID(INDIRECT("'Ответы на форму (1)'!G"&amp;$N12,TRUE()),SEARCH("vk.com",INDIRECT("'Ответы на форму (1)'!G"&amp;$N12,TRUE())),LEN(INDIRECT("'Ответы на форму (1)'!G"&amp;$N12,TRUE()))),INDIRECT("'Ответы на форму (1)'!G"&amp;$N12,TRUE()))</f>
        <v>#REF!</v>
      </c>
      <c r="H12" s="0" t="e">
        <f aca="true">INDIRECT("'Ответы на форму (1)'!H"&amp;$N12,TRUE())</f>
        <v>#REF!</v>
      </c>
      <c r="I12" s="12" t="e">
        <f aca="true">INDIRECT("'Ответы на форму (1)'!I"&amp;$N12,TRUE())</f>
        <v>#REF!</v>
      </c>
      <c r="J12" s="12" t="e">
        <f aca="true">INDIRECT("'Ответы на форму (1)'!J"&amp;$N12,TRUE())</f>
        <v>#REF!</v>
      </c>
      <c r="K12" s="12" t="e">
        <f aca="true">INDIRECT("'Ответы на форму (1)'!K"&amp;$N12,TRUE())</f>
        <v>#REF!</v>
      </c>
      <c r="L12" s="12" t="e">
        <f aca="true">INDIRECT("'Ответы на форму (1)'!L"&amp;$N12,TRUE())</f>
        <v>#REF!</v>
      </c>
      <c r="M12" s="0" t="e">
        <f aca="false" t="array" ref="M12:M12">IF(B12 &lt;&gt; "",IF(COUNTIF(concat(TRIM('Список прошлого года'!$B$2:$B$200),TRIM('Список прошлого года'!$C$2:$C$200)),concat(TRIM(B12),TRIM(C12))) &gt; 0,"Да","Нет"),"")</f>
        <v>#REF!</v>
      </c>
      <c r="N12" s="1" t="n">
        <v>14</v>
      </c>
      <c r="O12" s="1" t="n">
        <v>1</v>
      </c>
      <c r="Q12" s="1" t="n">
        <f aca="false">FALSE()</f>
        <v>0</v>
      </c>
      <c r="R12" s="1" t="n">
        <f aca="false">FALSE()</f>
        <v>0</v>
      </c>
      <c r="S12" s="1" t="n">
        <f aca="false">FALSE()</f>
        <v>0</v>
      </c>
      <c r="T12" s="1" t="n">
        <f aca="false">FALSE()</f>
        <v>0</v>
      </c>
      <c r="U12" s="1" t="n">
        <f aca="false">FALSE()</f>
        <v>0</v>
      </c>
      <c r="V12" s="1" t="n">
        <f aca="false">FALSE()</f>
        <v>0</v>
      </c>
      <c r="W12" s="1" t="n">
        <f aca="false">FALSE()</f>
        <v>0</v>
      </c>
      <c r="X12" s="1" t="n">
        <f aca="false">FALSE()</f>
        <v>0</v>
      </c>
      <c r="Y12" s="1" t="n">
        <f aca="false">FALSE()</f>
        <v>0</v>
      </c>
      <c r="Z12" s="1" t="n">
        <f aca="false">FALSE()</f>
        <v>0</v>
      </c>
      <c r="AA12" s="1" t="n">
        <f aca="false">TRUE()</f>
        <v>1</v>
      </c>
      <c r="AB12" s="1" t="n">
        <f aca="false">FALSE()</f>
        <v>0</v>
      </c>
      <c r="AC12" s="1" t="n">
        <f aca="false">TRUE()</f>
        <v>1</v>
      </c>
      <c r="AD12" s="1" t="n">
        <f aca="false">FALSE()</f>
        <v>0</v>
      </c>
      <c r="AE12" s="1" t="n">
        <f aca="false">FALSE()</f>
        <v>0</v>
      </c>
      <c r="AF12" s="1" t="n">
        <f aca="false">FALSE()</f>
        <v>0</v>
      </c>
      <c r="AG12" s="1" t="n">
        <f aca="false">FALSE()</f>
        <v>0</v>
      </c>
      <c r="AH12" s="1" t="n">
        <f aca="false">FALSE()</f>
        <v>0</v>
      </c>
      <c r="AI12" s="1" t="n">
        <f aca="false">FALSE()</f>
        <v>0</v>
      </c>
      <c r="AJ12" s="1" t="n">
        <f aca="false">FALSE()</f>
        <v>0</v>
      </c>
      <c r="AK12" s="1" t="n">
        <f aca="false" t="array" ref="AK12:AK12">SUM(IF(Q12:U12,1,0))</f>
        <v>0</v>
      </c>
      <c r="AL12" s="14" t="n">
        <f aca="false" t="array" ref="AL12:AL12">SUM(IF(V12:Z12,1,0))</f>
        <v>0</v>
      </c>
      <c r="AM12" s="14" t="n">
        <f aca="false" t="array" ref="AM12:AM12">SUM(IF(AA12:AE12,1,0))</f>
        <v>2</v>
      </c>
      <c r="AN12" s="14" t="n">
        <f aca="false" t="array" ref="AN12:AN12">SUM(IF(AF12:AJ12,1,0))</f>
        <v>0</v>
      </c>
      <c r="AO12" s="1" t="n">
        <f aca="false">FALSE()</f>
        <v>0</v>
      </c>
      <c r="AP12" s="1" t="n">
        <f aca="false">IF(O12 = 2,COUNTIF(Q12:AJ12,"TRUE"),-1)</f>
        <v>-1</v>
      </c>
    </row>
    <row r="13" customFormat="false" ht="15.75" hidden="false" customHeight="false" outlineLevel="0" collapsed="false">
      <c r="A13" s="8" t="e">
        <f aca="true">INDIRECT("'Ответы на форму (1)'!A"&amp;$N13,TRUE())</f>
        <v>#REF!</v>
      </c>
      <c r="B13" s="0" t="e">
        <f aca="true">INDIRECT("'Ответы на форму (1)'!B"&amp;$N13,TRUE())</f>
        <v>#REF!</v>
      </c>
      <c r="C13" s="0" t="e">
        <f aca="true">INDIRECT("'Ответы на форму (1)'!C"&amp;$N13,TRUE())</f>
        <v>#REF!</v>
      </c>
      <c r="D13" s="0" t="e">
        <f aca="true">INDIRECT("'Ответы на форму (1)'!D"&amp;$N13,TRUE())</f>
        <v>#REF!</v>
      </c>
      <c r="E13" s="0" t="n">
        <f aca="false">IFERROR(__xludf.dummyfunction("iferror(VALUE(REGEXEXTRACT(TEXT(INDIRECT(""'Ответы на форму (1)'!E""&amp;$N13,TRUE),""####""),""[0-9]+"")),IF(IFERROR(SEARCH(""моцро"",INDIRECT(""'Ответы на форму (1)'!E""&amp;$N13,TRUE)),-1) &gt;= 0,117,INDIRECT(""'Ответы на форму (1)'!E""&amp;$N13,TRUE)))"),117)</f>
        <v>117</v>
      </c>
      <c r="F13" s="0" t="e">
        <f aca="true">INDIRECT("'Ответы на форму (1)'!F"&amp;$N13,TRUE())</f>
        <v>#REF!</v>
      </c>
      <c r="G13" s="9" t="e">
        <f aca="true">IFERROR(MID(INDIRECT("'Ответы на форму (1)'!G"&amp;$N13,TRUE()),SEARCH("vk.com",INDIRECT("'Ответы на форму (1)'!G"&amp;$N13,TRUE())),LEN(INDIRECT("'Ответы на форму (1)'!G"&amp;$N13,TRUE()))),INDIRECT("'Ответы на форму (1)'!G"&amp;$N13,TRUE()))</f>
        <v>#REF!</v>
      </c>
      <c r="H13" s="0" t="e">
        <f aca="true">INDIRECT("'Ответы на форму (1)'!H"&amp;$N13,TRUE())</f>
        <v>#REF!</v>
      </c>
      <c r="I13" s="12" t="e">
        <f aca="true">INDIRECT("'Ответы на форму (1)'!I"&amp;$N13,TRUE())</f>
        <v>#REF!</v>
      </c>
      <c r="J13" s="12" t="e">
        <f aca="true">INDIRECT("'Ответы на форму (1)'!J"&amp;$N13,TRUE())</f>
        <v>#REF!</v>
      </c>
      <c r="K13" s="12" t="e">
        <f aca="true">INDIRECT("'Ответы на форму (1)'!K"&amp;$N13,TRUE())</f>
        <v>#REF!</v>
      </c>
      <c r="L13" s="12" t="e">
        <f aca="true">INDIRECT("'Ответы на форму (1)'!L"&amp;$N13,TRUE())</f>
        <v>#REF!</v>
      </c>
      <c r="M13" s="0" t="e">
        <f aca="false" t="array" ref="M13:M13">IF(B13 &lt;&gt; "",IF(COUNTIF(concat(TRIM('Список прошлого года'!$B$2:$B$200),TRIM('Список прошлого года'!$C$2:$C$200)),concat(TRIM(B13),TRIM(C13))) &gt; 0,"Да","Нет"),"")</f>
        <v>#REF!</v>
      </c>
      <c r="N13" s="1" t="n">
        <v>15</v>
      </c>
      <c r="O13" s="13" t="n">
        <v>2</v>
      </c>
      <c r="Q13" s="1" t="n">
        <f aca="false">TRUE()</f>
        <v>1</v>
      </c>
      <c r="R13" s="1" t="n">
        <f aca="false">TRUE()</f>
        <v>1</v>
      </c>
      <c r="S13" s="1" t="n">
        <f aca="false">TRUE()</f>
        <v>1</v>
      </c>
      <c r="T13" s="1" t="n">
        <f aca="false">TRUE()</f>
        <v>1</v>
      </c>
      <c r="U13" s="1" t="n">
        <f aca="false">TRUE()</f>
        <v>1</v>
      </c>
      <c r="V13" s="1" t="n">
        <f aca="false">TRUE()</f>
        <v>1</v>
      </c>
      <c r="W13" s="1" t="n">
        <f aca="false">TRUE()</f>
        <v>1</v>
      </c>
      <c r="X13" s="1" t="n">
        <f aca="false">TRUE()</f>
        <v>1</v>
      </c>
      <c r="Y13" s="1" t="n">
        <f aca="false">TRUE()</f>
        <v>1</v>
      </c>
      <c r="Z13" s="1" t="n">
        <f aca="false">TRUE()</f>
        <v>1</v>
      </c>
      <c r="AA13" s="1" t="n">
        <f aca="false">FALSE()</f>
        <v>0</v>
      </c>
      <c r="AB13" s="1" t="n">
        <f aca="false">FALSE()</f>
        <v>0</v>
      </c>
      <c r="AC13" s="1" t="n">
        <f aca="false">FALSE()</f>
        <v>0</v>
      </c>
      <c r="AD13" s="1" t="n">
        <f aca="false">FALSE()</f>
        <v>0</v>
      </c>
      <c r="AE13" s="1" t="n">
        <f aca="false">FALSE()</f>
        <v>0</v>
      </c>
      <c r="AF13" s="1" t="n">
        <f aca="false">TRUE()</f>
        <v>1</v>
      </c>
      <c r="AG13" s="1" t="n">
        <f aca="false">TRUE()</f>
        <v>1</v>
      </c>
      <c r="AH13" s="1" t="n">
        <f aca="false">TRUE()</f>
        <v>1</v>
      </c>
      <c r="AI13" s="1" t="n">
        <f aca="false">FALSE()</f>
        <v>0</v>
      </c>
      <c r="AJ13" s="1" t="n">
        <f aca="false">FALSE()</f>
        <v>0</v>
      </c>
      <c r="AK13" s="1" t="n">
        <f aca="false" t="array" ref="AK13:AK13">SUM(IF(Q13:U13,1,0))</f>
        <v>5</v>
      </c>
      <c r="AL13" s="14" t="n">
        <f aca="false" t="array" ref="AL13:AL13">SUM(IF(V13:Z13,1,0))</f>
        <v>5</v>
      </c>
      <c r="AM13" s="14" t="n">
        <f aca="false" t="array" ref="AM13:AM13">SUM(IF(AA13:AE13,1,0))</f>
        <v>0</v>
      </c>
      <c r="AN13" s="14" t="n">
        <f aca="false" t="array" ref="AN13:AN13">SUM(IF(AF13:AJ13,1,0))</f>
        <v>3</v>
      </c>
      <c r="AO13" s="1" t="n">
        <f aca="false">FALSE()</f>
        <v>0</v>
      </c>
      <c r="AP13" s="1" t="n">
        <f aca="false">IF(O13 = 2,COUNTIF(Q13:AJ13,"TRUE"),-1)</f>
        <v>13</v>
      </c>
    </row>
    <row r="14" customFormat="false" ht="15.75" hidden="false" customHeight="false" outlineLevel="0" collapsed="false">
      <c r="A14" s="8" t="e">
        <f aca="true">INDIRECT("'Ответы на форму (1)'!A"&amp;$N14,TRUE())</f>
        <v>#REF!</v>
      </c>
      <c r="B14" s="0" t="e">
        <f aca="true">INDIRECT("'Ответы на форму (1)'!B"&amp;$N14,TRUE())</f>
        <v>#REF!</v>
      </c>
      <c r="C14" s="0" t="e">
        <f aca="true">INDIRECT("'Ответы на форму (1)'!C"&amp;$N14,TRUE())</f>
        <v>#REF!</v>
      </c>
      <c r="D14" s="0" t="e">
        <f aca="true">INDIRECT("'Ответы на форму (1)'!D"&amp;$N14,TRUE())</f>
        <v>#REF!</v>
      </c>
      <c r="E14" s="0" t="n">
        <f aca="false">IFERROR(__xludf.dummyfunction("iferror(VALUE(REGEXEXTRACT(TEXT(INDIRECT(""'Ответы на форму (1)'!E""&amp;$N14,TRUE),""####""),""[0-9]+"")),IF(IFERROR(SEARCH(""моцро"",INDIRECT(""'Ответы на форму (1)'!E""&amp;$N14,TRUE)),-1) &gt;= 0,117,INDIRECT(""'Ответы на форму (1)'!E""&amp;$N14,TRUE)))"),34)</f>
        <v>34</v>
      </c>
      <c r="F14" s="0" t="e">
        <f aca="true">INDIRECT("'Ответы на форму (1)'!F"&amp;$N14,TRUE())</f>
        <v>#REF!</v>
      </c>
      <c r="G14" s="9" t="e">
        <f aca="true">IFERROR(MID(INDIRECT("'Ответы на форму (1)'!G"&amp;$N14,TRUE()),SEARCH("vk.com",INDIRECT("'Ответы на форму (1)'!G"&amp;$N14,TRUE())),LEN(INDIRECT("'Ответы на форму (1)'!G"&amp;$N14,TRUE()))),INDIRECT("'Ответы на форму (1)'!G"&amp;$N14,TRUE()))</f>
        <v>#REF!</v>
      </c>
      <c r="H14" s="0" t="e">
        <f aca="true">INDIRECT("'Ответы на форму (1)'!H"&amp;$N14,TRUE())</f>
        <v>#REF!</v>
      </c>
      <c r="I14" s="12" t="e">
        <f aca="true">INDIRECT("'Ответы на форму (1)'!I"&amp;$N14,TRUE())</f>
        <v>#REF!</v>
      </c>
      <c r="J14" s="12" t="e">
        <f aca="true">INDIRECT("'Ответы на форму (1)'!J"&amp;$N14,TRUE())</f>
        <v>#REF!</v>
      </c>
      <c r="K14" s="12" t="e">
        <f aca="true">INDIRECT("'Ответы на форму (1)'!K"&amp;$N14,TRUE())</f>
        <v>#REF!</v>
      </c>
      <c r="L14" s="12" t="e">
        <f aca="true">INDIRECT("'Ответы на форму (1)'!L"&amp;$N14,TRUE())</f>
        <v>#REF!</v>
      </c>
      <c r="M14" s="0" t="e">
        <f aca="false" t="array" ref="M14:M14">IF(B14 &lt;&gt; "",IF(COUNTIF(concat(TRIM('Список прошлого года'!$B$2:$B$200),TRIM('Список прошлого года'!$C$2:$C$200)),concat(TRIM(B14),TRIM(C14))) &gt; 0,"Да","Нет"),"")</f>
        <v>#REF!</v>
      </c>
      <c r="N14" s="1" t="n">
        <v>16</v>
      </c>
      <c r="O14" s="13" t="n">
        <v>2</v>
      </c>
      <c r="P14" s="1" t="s">
        <v>782</v>
      </c>
      <c r="Q14" s="1" t="n">
        <f aca="false">TRUE()</f>
        <v>1</v>
      </c>
      <c r="R14" s="1" t="n">
        <f aca="false">TRUE()</f>
        <v>1</v>
      </c>
      <c r="S14" s="1" t="n">
        <f aca="false">TRUE()</f>
        <v>1</v>
      </c>
      <c r="T14" s="1" t="n">
        <f aca="false">TRUE()</f>
        <v>1</v>
      </c>
      <c r="U14" s="1" t="n">
        <f aca="false">TRUE()</f>
        <v>1</v>
      </c>
      <c r="V14" s="1" t="n">
        <f aca="false">FALSE()</f>
        <v>0</v>
      </c>
      <c r="W14" s="1" t="n">
        <f aca="false">FALSE()</f>
        <v>0</v>
      </c>
      <c r="X14" s="1" t="n">
        <f aca="false">FALSE()</f>
        <v>0</v>
      </c>
      <c r="Y14" s="1" t="n">
        <f aca="false">FALSE()</f>
        <v>0</v>
      </c>
      <c r="Z14" s="1" t="n">
        <f aca="false">FALSE()</f>
        <v>0</v>
      </c>
      <c r="AA14" s="1" t="n">
        <f aca="false">FALSE()</f>
        <v>0</v>
      </c>
      <c r="AB14" s="1" t="n">
        <f aca="false">FALSE()</f>
        <v>0</v>
      </c>
      <c r="AC14" s="1" t="n">
        <f aca="false">FALSE()</f>
        <v>0</v>
      </c>
      <c r="AD14" s="1" t="n">
        <f aca="false">FALSE()</f>
        <v>0</v>
      </c>
      <c r="AE14" s="1" t="n">
        <f aca="false">FALSE()</f>
        <v>0</v>
      </c>
      <c r="AF14" s="1" t="n">
        <f aca="false">FALSE()</f>
        <v>0</v>
      </c>
      <c r="AG14" s="1" t="n">
        <f aca="false">FALSE()</f>
        <v>0</v>
      </c>
      <c r="AH14" s="1" t="n">
        <f aca="false">FALSE()</f>
        <v>0</v>
      </c>
      <c r="AI14" s="1" t="n">
        <f aca="false">FALSE()</f>
        <v>0</v>
      </c>
      <c r="AJ14" s="1" t="n">
        <f aca="false">FALSE()</f>
        <v>0</v>
      </c>
      <c r="AK14" s="1" t="n">
        <f aca="false" t="array" ref="AK14:AK14">SUM(IF(Q14:U14,1,0))</f>
        <v>5</v>
      </c>
      <c r="AL14" s="14" t="n">
        <f aca="false" t="array" ref="AL14:AL14">SUM(IF(V14:Z14,1,0))</f>
        <v>0</v>
      </c>
      <c r="AM14" s="14" t="n">
        <f aca="false" t="array" ref="AM14:AM14">SUM(IF(AA14:AE14,1,0))</f>
        <v>0</v>
      </c>
      <c r="AN14" s="14" t="n">
        <f aca="false" t="array" ref="AN14:AN14">SUM(IF(AF14:AJ14,1,0))</f>
        <v>0</v>
      </c>
      <c r="AO14" s="1" t="n">
        <f aca="false">FALSE()</f>
        <v>0</v>
      </c>
      <c r="AP14" s="1" t="n">
        <f aca="false">IF(O14 = 2,COUNTIF(Q14:AJ14,"TRUE"),-1)</f>
        <v>5</v>
      </c>
    </row>
    <row r="15" customFormat="false" ht="15.75" hidden="false" customHeight="false" outlineLevel="0" collapsed="false">
      <c r="A15" s="15" t="e">
        <f aca="true">INDIRECT("'Ответы на форму (1)'!A"&amp;$N15,TRUE())</f>
        <v>#REF!</v>
      </c>
      <c r="B15" s="16" t="e">
        <f aca="true">INDIRECT("'Ответы на форму (1)'!B"&amp;$N15,TRUE())</f>
        <v>#REF!</v>
      </c>
      <c r="C15" s="16" t="e">
        <f aca="true">INDIRECT("'Ответы на форму (1)'!C"&amp;$N15,TRUE())</f>
        <v>#REF!</v>
      </c>
      <c r="D15" s="16" t="e">
        <f aca="true">INDIRECT("'Ответы на форму (1)'!D"&amp;$N15,TRUE())</f>
        <v>#REF!</v>
      </c>
      <c r="E15" s="16" t="n">
        <f aca="false">IFERROR(__xludf.dummyfunction("iferror(VALUE(REGEXEXTRACT(TEXT(INDIRECT(""'Ответы на форму (1)'!E""&amp;$N15,TRUE),""####""),""[0-9]+"")),IF(IFERROR(SEARCH(""моцро"",INDIRECT(""'Ответы на форму (1)'!E""&amp;$N15,TRUE)),-1) &gt;= 0,117,INDIRECT(""'Ответы на форму (1)'!E""&amp;$N15,TRUE)))"),7)</f>
        <v>7</v>
      </c>
      <c r="F15" s="16" t="e">
        <f aca="true">INDIRECT("'Ответы на форму (1)'!F"&amp;$N15,TRUE())</f>
        <v>#REF!</v>
      </c>
      <c r="G15" s="17" t="e">
        <f aca="true">IFERROR(MID(INDIRECT("'Ответы на форму (1)'!G"&amp;$N15,TRUE()),SEARCH("vk.com",INDIRECT("'Ответы на форму (1)'!G"&amp;$N15,TRUE())),LEN(INDIRECT("'Ответы на форму (1)'!G"&amp;$N15,TRUE()))),INDIRECT("'Ответы на форму (1)'!G"&amp;$N15,TRUE()))</f>
        <v>#REF!</v>
      </c>
      <c r="H15" s="16" t="e">
        <f aca="true">INDIRECT("'Ответы на форму (1)'!H"&amp;$N15,TRUE())</f>
        <v>#REF!</v>
      </c>
      <c r="I15" s="16" t="e">
        <f aca="true">INDIRECT("'Ответы на форму (1)'!I"&amp;$N15,TRUE())</f>
        <v>#REF!</v>
      </c>
      <c r="J15" s="16" t="e">
        <f aca="true">INDIRECT("'Ответы на форму (1)'!J"&amp;$N15,TRUE())</f>
        <v>#REF!</v>
      </c>
      <c r="K15" s="16" t="e">
        <f aca="true">INDIRECT("'Ответы на форму (1)'!K"&amp;$N15,TRUE())</f>
        <v>#REF!</v>
      </c>
      <c r="L15" s="16" t="e">
        <f aca="true">INDIRECT("'Ответы на форму (1)'!L"&amp;$N15,TRUE())</f>
        <v>#REF!</v>
      </c>
      <c r="M15" s="16" t="e">
        <f aca="false" t="array" ref="M15:M15">IF(B15 &lt;&gt; "",IF(COUNTIF(concat(TRIM('Список прошлого года'!$B$2:$B$200),TRIM('Список прошлого года'!$C$2:$C$200)),concat(TRIM(B15),TRIM(C15))) &gt; 0,"Да","Нет"),"")</f>
        <v>#REF!</v>
      </c>
      <c r="N15" s="19" t="n">
        <v>17</v>
      </c>
      <c r="O15" s="19" t="n">
        <v>2</v>
      </c>
      <c r="P15" s="16"/>
      <c r="Q15" s="19" t="n">
        <f aca="false">TRUE()</f>
        <v>1</v>
      </c>
      <c r="R15" s="19" t="n">
        <f aca="false">TRUE()</f>
        <v>1</v>
      </c>
      <c r="S15" s="19" t="n">
        <f aca="false">TRUE()</f>
        <v>1</v>
      </c>
      <c r="T15" s="19" t="n">
        <f aca="false">TRUE()</f>
        <v>1</v>
      </c>
      <c r="U15" s="19" t="n">
        <f aca="false">TRUE()</f>
        <v>1</v>
      </c>
      <c r="V15" s="19" t="n">
        <f aca="false">TRUE()</f>
        <v>1</v>
      </c>
      <c r="W15" s="19" t="n">
        <f aca="false">TRUE()</f>
        <v>1</v>
      </c>
      <c r="X15" s="19" t="n">
        <f aca="false">TRUE()</f>
        <v>1</v>
      </c>
      <c r="Y15" s="19" t="n">
        <f aca="false">TRUE()</f>
        <v>1</v>
      </c>
      <c r="Z15" s="19" t="n">
        <f aca="false">TRUE()</f>
        <v>1</v>
      </c>
      <c r="AA15" s="19" t="n">
        <f aca="false">TRUE()</f>
        <v>1</v>
      </c>
      <c r="AB15" s="19" t="n">
        <f aca="false">TRUE()</f>
        <v>1</v>
      </c>
      <c r="AC15" s="19" t="n">
        <f aca="false">TRUE()</f>
        <v>1</v>
      </c>
      <c r="AD15" s="19" t="n">
        <f aca="false">TRUE()</f>
        <v>1</v>
      </c>
      <c r="AE15" s="19" t="n">
        <f aca="false">TRUE()</f>
        <v>1</v>
      </c>
      <c r="AF15" s="19" t="n">
        <f aca="false">TRUE()</f>
        <v>1</v>
      </c>
      <c r="AG15" s="19" t="n">
        <f aca="false">TRUE()</f>
        <v>1</v>
      </c>
      <c r="AH15" s="19" t="n">
        <f aca="false">TRUE()</f>
        <v>1</v>
      </c>
      <c r="AI15" s="19" t="n">
        <f aca="false">TRUE()</f>
        <v>1</v>
      </c>
      <c r="AJ15" s="19" t="n">
        <f aca="false">TRUE()</f>
        <v>1</v>
      </c>
      <c r="AK15" s="19" t="n">
        <f aca="false" t="array" ref="AK15:AK15">SUM(IF(Q15:U15,1,0))</f>
        <v>5</v>
      </c>
      <c r="AL15" s="20" t="n">
        <f aca="false" t="array" ref="AL15:AL15">SUM(IF(V15:Z15,1,0))</f>
        <v>5</v>
      </c>
      <c r="AM15" s="20" t="n">
        <f aca="false" t="array" ref="AM15:AM15">SUM(IF(AA15:AE15,1,0))</f>
        <v>5</v>
      </c>
      <c r="AN15" s="20" t="n">
        <f aca="false" t="array" ref="AN15:AN15">SUM(IF(AF15:AJ15,1,0))</f>
        <v>5</v>
      </c>
      <c r="AO15" s="19" t="n">
        <f aca="false">TRUE()</f>
        <v>1</v>
      </c>
      <c r="AP15" s="1" t="n">
        <f aca="false">IF(O15 = 2,COUNTIF(Q15:AJ15,"TRUE"),-1)</f>
        <v>20</v>
      </c>
    </row>
    <row r="16" customFormat="false" ht="15.75" hidden="false" customHeight="false" outlineLevel="0" collapsed="false">
      <c r="A16" s="8" t="e">
        <f aca="true">INDIRECT("'Ответы на форму (1)'!A"&amp;$N16,TRUE())</f>
        <v>#REF!</v>
      </c>
      <c r="B16" s="0" t="e">
        <f aca="true">INDIRECT("'Ответы на форму (1)'!B"&amp;$N16,TRUE())</f>
        <v>#REF!</v>
      </c>
      <c r="C16" s="0" t="e">
        <f aca="true">INDIRECT("'Ответы на форму (1)'!C"&amp;$N16,TRUE())</f>
        <v>#REF!</v>
      </c>
      <c r="D16" s="0" t="e">
        <f aca="true">INDIRECT("'Ответы на форму (1)'!D"&amp;$N16,TRUE())</f>
        <v>#REF!</v>
      </c>
      <c r="E16" s="0" t="n">
        <f aca="false">IFERROR(__xludf.dummyfunction("iferror(VALUE(REGEXEXTRACT(TEXT(INDIRECT(""'Ответы на форму (1)'!E""&amp;$N16,TRUE),""####""),""[0-9]+"")),IF(IFERROR(SEARCH(""моцро"",INDIRECT(""'Ответы на форму (1)'!E""&amp;$N16,TRUE)),-1) &gt;= 0,117,INDIRECT(""'Ответы на форму (1)'!E""&amp;$N16,TRUE)))"),51)</f>
        <v>51</v>
      </c>
      <c r="F16" s="0" t="e">
        <f aca="true">INDIRECT("'Ответы на форму (1)'!F"&amp;$N16,TRUE())</f>
        <v>#REF!</v>
      </c>
      <c r="G16" s="9" t="e">
        <f aca="true">IFERROR(MID(INDIRECT("'Ответы на форму (1)'!G"&amp;$N16,TRUE()),SEARCH("vk.com",INDIRECT("'Ответы на форму (1)'!G"&amp;$N16,TRUE())),LEN(INDIRECT("'Ответы на форму (1)'!G"&amp;$N16,TRUE()))),INDIRECT("'Ответы на форму (1)'!G"&amp;$N16,TRUE()))</f>
        <v>#REF!</v>
      </c>
      <c r="H16" s="0" t="e">
        <f aca="true">INDIRECT("'Ответы на форму (1)'!H"&amp;$N16,TRUE())</f>
        <v>#REF!</v>
      </c>
      <c r="I16" s="12" t="e">
        <f aca="true">INDIRECT("'Ответы на форму (1)'!I"&amp;$N16,TRUE())</f>
        <v>#REF!</v>
      </c>
      <c r="J16" s="12" t="e">
        <f aca="true">INDIRECT("'Ответы на форму (1)'!J"&amp;$N16,TRUE())</f>
        <v>#REF!</v>
      </c>
      <c r="K16" s="12" t="e">
        <f aca="true">INDIRECT("'Ответы на форму (1)'!K"&amp;$N16,TRUE())</f>
        <v>#REF!</v>
      </c>
      <c r="L16" s="12" t="e">
        <f aca="true">INDIRECT("'Ответы на форму (1)'!L"&amp;$N16,TRUE())</f>
        <v>#REF!</v>
      </c>
      <c r="M16" s="0" t="e">
        <f aca="false" t="array" ref="M16:M16">IF(B16 &lt;&gt; "",IF(COUNTIF(concat(TRIM('Список прошлого года'!$B$2:$B$200),TRIM('Список прошлого года'!$C$2:$C$200)),concat(TRIM(B16),TRIM(C16))) &gt; 0,"Да","Нет"),"")</f>
        <v>#REF!</v>
      </c>
      <c r="N16" s="1" t="n">
        <v>18</v>
      </c>
      <c r="O16" s="13" t="n">
        <v>2</v>
      </c>
      <c r="P16" s="1"/>
      <c r="Q16" s="1" t="n">
        <f aca="false">TRUE()</f>
        <v>1</v>
      </c>
      <c r="R16" s="1" t="n">
        <f aca="false">TRUE()</f>
        <v>1</v>
      </c>
      <c r="S16" s="1" t="n">
        <f aca="false">TRUE()</f>
        <v>1</v>
      </c>
      <c r="T16" s="1" t="n">
        <f aca="false">TRUE()</f>
        <v>1</v>
      </c>
      <c r="U16" s="1" t="n">
        <f aca="false">TRUE()</f>
        <v>1</v>
      </c>
      <c r="V16" s="1" t="n">
        <f aca="false">TRUE()</f>
        <v>1</v>
      </c>
      <c r="W16" s="1" t="n">
        <f aca="false">TRUE()</f>
        <v>1</v>
      </c>
      <c r="X16" s="1" t="n">
        <f aca="false">TRUE()</f>
        <v>1</v>
      </c>
      <c r="Y16" s="1" t="n">
        <f aca="false">TRUE()</f>
        <v>1</v>
      </c>
      <c r="Z16" s="1" t="n">
        <f aca="false">TRUE()</f>
        <v>1</v>
      </c>
      <c r="AA16" s="1" t="n">
        <f aca="false">TRUE()</f>
        <v>1</v>
      </c>
      <c r="AB16" s="1" t="n">
        <f aca="false">TRUE()</f>
        <v>1</v>
      </c>
      <c r="AC16" s="1" t="n">
        <f aca="false">TRUE()</f>
        <v>1</v>
      </c>
      <c r="AD16" s="1" t="n">
        <f aca="false">TRUE()</f>
        <v>1</v>
      </c>
      <c r="AE16" s="1" t="n">
        <f aca="false">TRUE()</f>
        <v>1</v>
      </c>
      <c r="AF16" s="1" t="n">
        <f aca="false">TRUE()</f>
        <v>1</v>
      </c>
      <c r="AG16" s="1" t="n">
        <f aca="false">TRUE()</f>
        <v>1</v>
      </c>
      <c r="AH16" s="1" t="n">
        <f aca="false">TRUE()</f>
        <v>1</v>
      </c>
      <c r="AI16" s="1" t="n">
        <f aca="false">FALSE()</f>
        <v>0</v>
      </c>
      <c r="AJ16" s="1" t="n">
        <f aca="false">FALSE()</f>
        <v>0</v>
      </c>
      <c r="AK16" s="1" t="n">
        <f aca="false" t="array" ref="AK16:AK16">SUM(IF(Q16:U16,1,0))</f>
        <v>5</v>
      </c>
      <c r="AL16" s="14" t="n">
        <f aca="false" t="array" ref="AL16:AL16">SUM(IF(V16:Z16,1,0))</f>
        <v>5</v>
      </c>
      <c r="AM16" s="14" t="n">
        <f aca="false" t="array" ref="AM16:AM16">SUM(IF(AA16:AE16,1,0))</f>
        <v>5</v>
      </c>
      <c r="AN16" s="14" t="n">
        <f aca="false" t="array" ref="AN16:AN16">SUM(IF(AF16:AJ16,1,0))</f>
        <v>3</v>
      </c>
      <c r="AO16" s="1" t="n">
        <f aca="false">FALSE()</f>
        <v>0</v>
      </c>
      <c r="AP16" s="1" t="n">
        <f aca="false">IF(O16 = 2,COUNTIF(Q16:AJ16,"TRUE"),-1)</f>
        <v>18</v>
      </c>
    </row>
    <row r="17" customFormat="false" ht="15.75" hidden="false" customHeight="false" outlineLevel="0" collapsed="false">
      <c r="A17" s="15" t="e">
        <f aca="true">INDIRECT("'Ответы на форму (1)'!A"&amp;$N17,TRUE())</f>
        <v>#REF!</v>
      </c>
      <c r="B17" s="16" t="e">
        <f aca="true">INDIRECT("'Ответы на форму (1)'!B"&amp;$N17,TRUE())</f>
        <v>#REF!</v>
      </c>
      <c r="C17" s="16" t="e">
        <f aca="true">INDIRECT("'Ответы на форму (1)'!C"&amp;$N17,TRUE())</f>
        <v>#REF!</v>
      </c>
      <c r="D17" s="16" t="e">
        <f aca="true">INDIRECT("'Ответы на форму (1)'!D"&amp;$N17,TRUE())</f>
        <v>#REF!</v>
      </c>
      <c r="E17" s="16" t="n">
        <f aca="false">IFERROR(__xludf.dummyfunction("iferror(VALUE(REGEXEXTRACT(TEXT(INDIRECT(""'Ответы на форму (1)'!E""&amp;$N17,TRUE),""####""),""[0-9]+"")),IF(IFERROR(SEARCH(""моцро"",INDIRECT(""'Ответы на форму (1)'!E""&amp;$N17,TRUE)),-1) &gt;= 0,117,INDIRECT(""'Ответы на форму (1)'!E""&amp;$N17,TRUE)))"),117)</f>
        <v>117</v>
      </c>
      <c r="F17" s="16" t="e">
        <f aca="true">INDIRECT("'Ответы на форму (1)'!F"&amp;$N17,TRUE())</f>
        <v>#REF!</v>
      </c>
      <c r="G17" s="17" t="e">
        <f aca="true">IFERROR(MID(INDIRECT("'Ответы на форму (1)'!G"&amp;$N17,TRUE()),SEARCH("vk.com",INDIRECT("'Ответы на форму (1)'!G"&amp;$N17,TRUE())),LEN(INDIRECT("'Ответы на форму (1)'!G"&amp;$N17,TRUE()))),INDIRECT("'Ответы на форму (1)'!G"&amp;$N17,TRUE()))</f>
        <v>#REF!</v>
      </c>
      <c r="H17" s="16" t="e">
        <f aca="true">INDIRECT("'Ответы на форму (1)'!H"&amp;$N17,TRUE())</f>
        <v>#REF!</v>
      </c>
      <c r="I17" s="16" t="e">
        <f aca="true">INDIRECT("'Ответы на форму (1)'!I"&amp;$N17,TRUE())</f>
        <v>#REF!</v>
      </c>
      <c r="J17" s="16" t="e">
        <f aca="true">INDIRECT("'Ответы на форму (1)'!J"&amp;$N17,TRUE())</f>
        <v>#REF!</v>
      </c>
      <c r="K17" s="16" t="e">
        <f aca="true">INDIRECT("'Ответы на форму (1)'!K"&amp;$N17,TRUE())</f>
        <v>#REF!</v>
      </c>
      <c r="L17" s="16" t="e">
        <f aca="true">INDIRECT("'Ответы на форму (1)'!L"&amp;$N17,TRUE())</f>
        <v>#REF!</v>
      </c>
      <c r="M17" s="16" t="e">
        <f aca="false" t="array" ref="M17:M17">IF(B17 &lt;&gt; "",IF(COUNTIF(concat(TRIM('Список прошлого года'!$B$2:$B$200),TRIM('Список прошлого года'!$C$2:$C$200)),concat(TRIM(B17),TRIM(C17))) &gt; 0,"Да","Нет"),"")</f>
        <v>#REF!</v>
      </c>
      <c r="N17" s="19" t="n">
        <v>19</v>
      </c>
      <c r="O17" s="19" t="n">
        <v>2</v>
      </c>
      <c r="P17" s="16"/>
      <c r="Q17" s="19" t="n">
        <f aca="false">FALSE()</f>
        <v>0</v>
      </c>
      <c r="R17" s="19" t="n">
        <f aca="false">FALSE()</f>
        <v>0</v>
      </c>
      <c r="S17" s="19" t="n">
        <f aca="false">FALSE()</f>
        <v>0</v>
      </c>
      <c r="T17" s="19" t="n">
        <f aca="false">FALSE()</f>
        <v>0</v>
      </c>
      <c r="U17" s="19" t="n">
        <f aca="false">FALSE()</f>
        <v>0</v>
      </c>
      <c r="V17" s="19" t="n">
        <f aca="false">FALSE()</f>
        <v>0</v>
      </c>
      <c r="W17" s="19" t="n">
        <f aca="false">FALSE()</f>
        <v>0</v>
      </c>
      <c r="X17" s="19" t="n">
        <f aca="false">FALSE()</f>
        <v>0</v>
      </c>
      <c r="Y17" s="19" t="n">
        <f aca="false">FALSE()</f>
        <v>0</v>
      </c>
      <c r="Z17" s="19" t="n">
        <f aca="false">FALSE()</f>
        <v>0</v>
      </c>
      <c r="AA17" s="19" t="n">
        <f aca="false">TRUE()</f>
        <v>1</v>
      </c>
      <c r="AB17" s="19" t="n">
        <f aca="false">TRUE()</f>
        <v>1</v>
      </c>
      <c r="AC17" s="19" t="n">
        <f aca="false">FALSE()</f>
        <v>0</v>
      </c>
      <c r="AD17" s="19" t="n">
        <f aca="false">TRUE()</f>
        <v>1</v>
      </c>
      <c r="AE17" s="19" t="n">
        <f aca="false">TRUE()</f>
        <v>1</v>
      </c>
      <c r="AF17" s="19" t="n">
        <f aca="false">TRUE()</f>
        <v>1</v>
      </c>
      <c r="AG17" s="19" t="n">
        <f aca="false">FALSE()</f>
        <v>0</v>
      </c>
      <c r="AH17" s="19" t="n">
        <f aca="false">FALSE()</f>
        <v>0</v>
      </c>
      <c r="AI17" s="19" t="n">
        <f aca="false">FALSE()</f>
        <v>0</v>
      </c>
      <c r="AJ17" s="19" t="n">
        <f aca="false">FALSE()</f>
        <v>0</v>
      </c>
      <c r="AK17" s="19" t="n">
        <f aca="false" t="array" ref="AK17:AK17">SUM(IF(Q17:U17,1,0))</f>
        <v>0</v>
      </c>
      <c r="AL17" s="20" t="n">
        <f aca="false" t="array" ref="AL17:AL17">SUM(IF(V17:Z17,1,0))</f>
        <v>0</v>
      </c>
      <c r="AM17" s="20" t="n">
        <f aca="false" t="array" ref="AM17:AM17">SUM(IF(AA17:AE17,1,0))</f>
        <v>4</v>
      </c>
      <c r="AN17" s="20" t="n">
        <f aca="false" t="array" ref="AN17:AN17">SUM(IF(AF17:AJ17,1,0))</f>
        <v>1</v>
      </c>
      <c r="AO17" s="19" t="n">
        <f aca="false">TRUE()</f>
        <v>1</v>
      </c>
      <c r="AP17" s="1" t="n">
        <f aca="false">IF(O17 = 2,COUNTIF(Q17:AJ17,"TRUE"),-1)</f>
        <v>5</v>
      </c>
    </row>
    <row r="18" customFormat="false" ht="15.75" hidden="false" customHeight="false" outlineLevel="0" collapsed="false">
      <c r="A18" s="8" t="e">
        <f aca="true">INDIRECT("'Ответы на форму (1)'!A"&amp;$N18,TRUE())</f>
        <v>#REF!</v>
      </c>
      <c r="B18" s="0" t="e">
        <f aca="true">INDIRECT("'Ответы на форму (1)'!B"&amp;$N18,TRUE())</f>
        <v>#REF!</v>
      </c>
      <c r="C18" s="0" t="e">
        <f aca="true">INDIRECT("'Ответы на форму (1)'!C"&amp;$N18,TRUE())</f>
        <v>#REF!</v>
      </c>
      <c r="D18" s="0" t="e">
        <f aca="true">INDIRECT("'Ответы на форму (1)'!D"&amp;$N18,TRUE())</f>
        <v>#REF!</v>
      </c>
      <c r="E18" s="0" t="n">
        <f aca="false">IFERROR(__xludf.dummyfunction("iferror(VALUE(REGEXEXTRACT(TEXT(INDIRECT(""'Ответы на форму (1)'!E""&amp;$N18,TRUE),""####""),""[0-9]+"")),IF(IFERROR(SEARCH(""моцро"",INDIRECT(""'Ответы на форму (1)'!E""&amp;$N18,TRUE)),-1) &gt;= 0,117,INDIRECT(""'Ответы на форму (1)'!E""&amp;$N18,TRUE)))"),117)</f>
        <v>117</v>
      </c>
      <c r="F18" s="0" t="e">
        <f aca="true">INDIRECT("'Ответы на форму (1)'!F"&amp;$N18,TRUE())</f>
        <v>#REF!</v>
      </c>
      <c r="G18" s="9" t="e">
        <f aca="true">IFERROR(MID(INDIRECT("'Ответы на форму (1)'!G"&amp;$N18,TRUE()),SEARCH("vk.com",INDIRECT("'Ответы на форму (1)'!G"&amp;$N18,TRUE())),LEN(INDIRECT("'Ответы на форму (1)'!G"&amp;$N18,TRUE()))),INDIRECT("'Ответы на форму (1)'!G"&amp;$N18,TRUE()))</f>
        <v>#REF!</v>
      </c>
      <c r="H18" s="0" t="e">
        <f aca="true">INDIRECT("'Ответы на форму (1)'!H"&amp;$N18,TRUE())</f>
        <v>#REF!</v>
      </c>
      <c r="I18" s="12" t="e">
        <f aca="true">INDIRECT("'Ответы на форму (1)'!I"&amp;$N18,TRUE())</f>
        <v>#REF!</v>
      </c>
      <c r="J18" s="12" t="e">
        <f aca="true">INDIRECT("'Ответы на форму (1)'!J"&amp;$N18,TRUE())</f>
        <v>#REF!</v>
      </c>
      <c r="K18" s="12" t="e">
        <f aca="true">INDIRECT("'Ответы на форму (1)'!K"&amp;$N18,TRUE())</f>
        <v>#REF!</v>
      </c>
      <c r="L18" s="12" t="e">
        <f aca="true">INDIRECT("'Ответы на форму (1)'!L"&amp;$N18,TRUE())</f>
        <v>#REF!</v>
      </c>
      <c r="M18" s="0" t="e">
        <f aca="false" t="array" ref="M18:M18">IF(B18 &lt;&gt; "",IF(COUNTIF(concat(TRIM('Список прошлого года'!$B$2:$B$200),TRIM('Список прошлого года'!$C$2:$C$200)),concat(TRIM(B18),TRIM(C18))) &gt; 0,"Да","Нет"),"")</f>
        <v>#REF!</v>
      </c>
      <c r="N18" s="1" t="n">
        <v>21</v>
      </c>
      <c r="O18" s="13" t="n">
        <v>2</v>
      </c>
      <c r="Q18" s="1" t="n">
        <f aca="false">TRUE()</f>
        <v>1</v>
      </c>
      <c r="R18" s="1" t="n">
        <f aca="false">TRUE()</f>
        <v>1</v>
      </c>
      <c r="S18" s="1" t="n">
        <f aca="false">TRUE()</f>
        <v>1</v>
      </c>
      <c r="T18" s="1" t="n">
        <f aca="false">TRUE()</f>
        <v>1</v>
      </c>
      <c r="U18" s="1" t="n">
        <f aca="false">TRUE()</f>
        <v>1</v>
      </c>
      <c r="V18" s="1" t="n">
        <f aca="false">TRUE()</f>
        <v>1</v>
      </c>
      <c r="W18" s="1" t="n">
        <f aca="false">TRUE()</f>
        <v>1</v>
      </c>
      <c r="X18" s="1" t="n">
        <f aca="false">TRUE()</f>
        <v>1</v>
      </c>
      <c r="Y18" s="1" t="n">
        <f aca="false">TRUE()</f>
        <v>1</v>
      </c>
      <c r="Z18" s="1" t="n">
        <f aca="false">TRUE()</f>
        <v>1</v>
      </c>
      <c r="AA18" s="1" t="n">
        <f aca="false">FALSE()</f>
        <v>0</v>
      </c>
      <c r="AB18" s="1" t="n">
        <f aca="false">TRUE()</f>
        <v>1</v>
      </c>
      <c r="AC18" s="1" t="n">
        <f aca="false">TRUE()</f>
        <v>1</v>
      </c>
      <c r="AD18" s="1" t="n">
        <f aca="false">FALSE()</f>
        <v>0</v>
      </c>
      <c r="AE18" s="1" t="n">
        <f aca="false">FALSE()</f>
        <v>0</v>
      </c>
      <c r="AF18" s="1" t="n">
        <f aca="false">TRUE()</f>
        <v>1</v>
      </c>
      <c r="AG18" s="1" t="n">
        <f aca="false">TRUE()</f>
        <v>1</v>
      </c>
      <c r="AH18" s="1" t="n">
        <f aca="false">FALSE()</f>
        <v>0</v>
      </c>
      <c r="AI18" s="1" t="n">
        <f aca="false">FALSE()</f>
        <v>0</v>
      </c>
      <c r="AJ18" s="1" t="n">
        <f aca="false">FALSE()</f>
        <v>0</v>
      </c>
      <c r="AK18" s="1" t="n">
        <f aca="false" t="array" ref="AK18:AK18">SUM(IF(Q18:U18,1,0))</f>
        <v>5</v>
      </c>
      <c r="AL18" s="14" t="n">
        <f aca="false" t="array" ref="AL18:AL18">SUM(IF(V18:Z18,1,0))</f>
        <v>5</v>
      </c>
      <c r="AM18" s="14" t="n">
        <f aca="false" t="array" ref="AM18:AM18">SUM(IF(AA18:AE18,1,0))</f>
        <v>2</v>
      </c>
      <c r="AN18" s="14" t="n">
        <f aca="false" t="array" ref="AN18:AN18">SUM(IF(AF18:AJ18,1,0))</f>
        <v>2</v>
      </c>
      <c r="AO18" s="1" t="n">
        <f aca="false">FALSE()</f>
        <v>0</v>
      </c>
      <c r="AP18" s="1" t="n">
        <f aca="false">IF(O18 = 2,COUNTIF(Q18:AJ18,"TRUE"),-1)</f>
        <v>14</v>
      </c>
    </row>
    <row r="19" customFormat="false" ht="15.75" hidden="false" customHeight="false" outlineLevel="0" collapsed="false">
      <c r="A19" s="15" t="e">
        <f aca="true">INDIRECT("'Ответы на форму (1)'!A"&amp;$N19,TRUE())</f>
        <v>#REF!</v>
      </c>
      <c r="B19" s="16" t="e">
        <f aca="true">INDIRECT("'Ответы на форму (1)'!B"&amp;$N19,TRUE())</f>
        <v>#REF!</v>
      </c>
      <c r="C19" s="16" t="e">
        <f aca="true">INDIRECT("'Ответы на форму (1)'!C"&amp;$N19,TRUE())</f>
        <v>#REF!</v>
      </c>
      <c r="D19" s="16" t="e">
        <f aca="true">INDIRECT("'Ответы на форму (1)'!D"&amp;$N19,TRUE())</f>
        <v>#REF!</v>
      </c>
      <c r="E19" s="16" t="n">
        <f aca="false">IFERROR(__xludf.dummyfunction("iferror(VALUE(REGEXEXTRACT(TEXT(INDIRECT(""'Ответы на форму (1)'!E""&amp;$N19,TRUE),""####""),""[0-9]+"")),IF(IFERROR(SEARCH(""моцро"",INDIRECT(""'Ответы на форму (1)'!E""&amp;$N19,TRUE)),-1) &gt;= 0,117,INDIRECT(""'Ответы на форму (1)'!E""&amp;$N19,TRUE)))"),64)</f>
        <v>64</v>
      </c>
      <c r="F19" s="16" t="e">
        <f aca="true">INDIRECT("'Ответы на форму (1)'!F"&amp;$N19,TRUE())</f>
        <v>#REF!</v>
      </c>
      <c r="G19" s="17" t="e">
        <f aca="true">IFERROR(MID(INDIRECT("'Ответы на форму (1)'!G"&amp;$N19,TRUE()),SEARCH("vk.com",INDIRECT("'Ответы на форму (1)'!G"&amp;$N19,TRUE())),LEN(INDIRECT("'Ответы на форму (1)'!G"&amp;$N19,TRUE()))),INDIRECT("'Ответы на форму (1)'!G"&amp;$N19,TRUE()))</f>
        <v>#REF!</v>
      </c>
      <c r="H19" s="16" t="e">
        <f aca="true">INDIRECT("'Ответы на форму (1)'!H"&amp;$N19,TRUE())</f>
        <v>#REF!</v>
      </c>
      <c r="I19" s="16" t="e">
        <f aca="true">INDIRECT("'Ответы на форму (1)'!I"&amp;$N19,TRUE())</f>
        <v>#REF!</v>
      </c>
      <c r="J19" s="16" t="e">
        <f aca="true">INDIRECT("'Ответы на форму (1)'!J"&amp;$N19,TRUE())</f>
        <v>#REF!</v>
      </c>
      <c r="K19" s="16" t="e">
        <f aca="true">INDIRECT("'Ответы на форму (1)'!K"&amp;$N19,TRUE())</f>
        <v>#REF!</v>
      </c>
      <c r="L19" s="16" t="e">
        <f aca="true">INDIRECT("'Ответы на форму (1)'!L"&amp;$N19,TRUE())</f>
        <v>#REF!</v>
      </c>
      <c r="M19" s="16" t="e">
        <f aca="false" t="array" ref="M19:M19">IF(B19 &lt;&gt; "",IF(COUNTIF(concat(TRIM('Список прошлого года'!$B$2:$B$200),TRIM('Список прошлого года'!$C$2:$C$200)),concat(TRIM(B19),TRIM(C19))) &gt; 0,"Да","Нет"),"")</f>
        <v>#REF!</v>
      </c>
      <c r="N19" s="19" t="n">
        <v>22</v>
      </c>
      <c r="O19" s="19" t="n">
        <v>2</v>
      </c>
      <c r="P19" s="16"/>
      <c r="Q19" s="19" t="n">
        <f aca="false">TRUE()</f>
        <v>1</v>
      </c>
      <c r="R19" s="19" t="n">
        <f aca="false">TRUE()</f>
        <v>1</v>
      </c>
      <c r="S19" s="19" t="n">
        <f aca="false">TRUE()</f>
        <v>1</v>
      </c>
      <c r="T19" s="19" t="n">
        <f aca="false">TRUE()</f>
        <v>1</v>
      </c>
      <c r="U19" s="19" t="n">
        <f aca="false">FALSE()</f>
        <v>0</v>
      </c>
      <c r="V19" s="19" t="n">
        <f aca="false">TRUE()</f>
        <v>1</v>
      </c>
      <c r="W19" s="19" t="n">
        <f aca="false">TRUE()</f>
        <v>1</v>
      </c>
      <c r="X19" s="19" t="n">
        <f aca="false">TRUE()</f>
        <v>1</v>
      </c>
      <c r="Y19" s="19" t="n">
        <f aca="false">TRUE()</f>
        <v>1</v>
      </c>
      <c r="Z19" s="19" t="n">
        <f aca="false">FALSE()</f>
        <v>0</v>
      </c>
      <c r="AA19" s="19" t="n">
        <f aca="false">TRUE()</f>
        <v>1</v>
      </c>
      <c r="AB19" s="19" t="n">
        <f aca="false">FALSE()</f>
        <v>0</v>
      </c>
      <c r="AC19" s="19" t="n">
        <f aca="false">FALSE()</f>
        <v>0</v>
      </c>
      <c r="AD19" s="19" t="n">
        <f aca="false">FALSE()</f>
        <v>0</v>
      </c>
      <c r="AE19" s="19" t="n">
        <f aca="false">FALSE()</f>
        <v>0</v>
      </c>
      <c r="AF19" s="19" t="n">
        <f aca="false">FALSE()</f>
        <v>0</v>
      </c>
      <c r="AG19" s="19" t="n">
        <f aca="false">FALSE()</f>
        <v>0</v>
      </c>
      <c r="AH19" s="19" t="n">
        <f aca="false">FALSE()</f>
        <v>0</v>
      </c>
      <c r="AI19" s="19" t="n">
        <f aca="false">FALSE()</f>
        <v>0</v>
      </c>
      <c r="AJ19" s="19" t="n">
        <f aca="false">FALSE()</f>
        <v>0</v>
      </c>
      <c r="AK19" s="19" t="n">
        <f aca="false" t="array" ref="AK19:AK19">SUM(IF(Q19:U19,1,0))</f>
        <v>4</v>
      </c>
      <c r="AL19" s="20" t="n">
        <f aca="false" t="array" ref="AL19:AL19">SUM(IF(V19:Z19,1,0))</f>
        <v>4</v>
      </c>
      <c r="AM19" s="20" t="n">
        <f aca="false" t="array" ref="AM19:AM19">SUM(IF(AA19:AE19,1,0))</f>
        <v>1</v>
      </c>
      <c r="AN19" s="20" t="n">
        <f aca="false" t="array" ref="AN19:AN19">SUM(IF(AF19:AJ19,1,0))</f>
        <v>0</v>
      </c>
      <c r="AO19" s="19" t="n">
        <f aca="false">TRUE()</f>
        <v>1</v>
      </c>
      <c r="AP19" s="1" t="n">
        <f aca="false">IF(O19 = 2,COUNTIF(Q19:AJ19,"TRUE"),-1)</f>
        <v>9</v>
      </c>
    </row>
    <row r="20" customFormat="false" ht="15.75" hidden="false" customHeight="false" outlineLevel="0" collapsed="false">
      <c r="A20" s="8" t="e">
        <f aca="true">INDIRECT("'Ответы на форму (1)'!A"&amp;$N20,TRUE())</f>
        <v>#REF!</v>
      </c>
      <c r="B20" s="0" t="e">
        <f aca="true">INDIRECT("'Ответы на форму (1)'!B"&amp;$N20,TRUE())</f>
        <v>#REF!</v>
      </c>
      <c r="C20" s="0" t="e">
        <f aca="true">INDIRECT("'Ответы на форму (1)'!C"&amp;$N20,TRUE())</f>
        <v>#REF!</v>
      </c>
      <c r="D20" s="0" t="e">
        <f aca="true">INDIRECT("'Ответы на форму (1)'!D"&amp;$N20,TRUE())</f>
        <v>#REF!</v>
      </c>
      <c r="E20" s="0" t="n">
        <f aca="false">IFERROR(__xludf.dummyfunction("iferror(VALUE(REGEXEXTRACT(TEXT(INDIRECT(""'Ответы на форму (1)'!E""&amp;$N20,TRUE),""####""),""[0-9]+"")),IF(IFERROR(SEARCH(""моцро"",INDIRECT(""'Ответы на форму (1)'!E""&amp;$N20,TRUE)),-1) &gt;= 0,117,INDIRECT(""'Ответы на форму (1)'!E""&amp;$N20,TRUE)))"),166)</f>
        <v>166</v>
      </c>
      <c r="F20" s="0" t="e">
        <f aca="true">INDIRECT("'Ответы на форму (1)'!F"&amp;$N20,TRUE())</f>
        <v>#REF!</v>
      </c>
      <c r="G20" s="9" t="e">
        <f aca="true">IFERROR(MID(INDIRECT("'Ответы на форму (1)'!G"&amp;$N20,TRUE()),SEARCH("vk.com",INDIRECT("'Ответы на форму (1)'!G"&amp;$N20,TRUE())),LEN(INDIRECT("'Ответы на форму (1)'!G"&amp;$N20,TRUE()))),INDIRECT("'Ответы на форму (1)'!G"&amp;$N20,TRUE()))</f>
        <v>#REF!</v>
      </c>
      <c r="H20" s="0" t="e">
        <f aca="true">INDIRECT("'Ответы на форму (1)'!H"&amp;$N20,TRUE())</f>
        <v>#REF!</v>
      </c>
      <c r="I20" s="12" t="e">
        <f aca="true">INDIRECT("'Ответы на форму (1)'!I"&amp;$N20,TRUE())</f>
        <v>#REF!</v>
      </c>
      <c r="J20" s="12" t="e">
        <f aca="true">INDIRECT("'Ответы на форму (1)'!J"&amp;$N20,TRUE())</f>
        <v>#REF!</v>
      </c>
      <c r="K20" s="12" t="e">
        <f aca="true">INDIRECT("'Ответы на форму (1)'!K"&amp;$N20,TRUE())</f>
        <v>#REF!</v>
      </c>
      <c r="L20" s="12" t="e">
        <f aca="true">INDIRECT("'Ответы на форму (1)'!L"&amp;$N20,TRUE())</f>
        <v>#REF!</v>
      </c>
      <c r="M20" s="0" t="e">
        <f aca="false" t="array" ref="M20:M20">IF(B20 &lt;&gt; "",IF(COUNTIF(concat(TRIM('Список прошлого года'!$B$2:$B$200),TRIM('Список прошлого года'!$C$2:$C$200)),concat(TRIM(B20),TRIM(C20))) &gt; 0,"Да","Нет"),"")</f>
        <v>#REF!</v>
      </c>
      <c r="N20" s="1" t="n">
        <v>23</v>
      </c>
      <c r="O20" s="13" t="n">
        <v>2</v>
      </c>
      <c r="Q20" s="1" t="n">
        <f aca="false">TRUE()</f>
        <v>1</v>
      </c>
      <c r="R20" s="1" t="n">
        <f aca="false">TRUE()</f>
        <v>1</v>
      </c>
      <c r="S20" s="1" t="n">
        <f aca="false">TRUE()</f>
        <v>1</v>
      </c>
      <c r="T20" s="1" t="n">
        <f aca="false">TRUE()</f>
        <v>1</v>
      </c>
      <c r="U20" s="1" t="n">
        <f aca="false">TRUE()</f>
        <v>1</v>
      </c>
      <c r="V20" s="1" t="n">
        <f aca="false">TRUE()</f>
        <v>1</v>
      </c>
      <c r="W20" s="1" t="n">
        <f aca="false">TRUE()</f>
        <v>1</v>
      </c>
      <c r="X20" s="1" t="n">
        <f aca="false">TRUE()</f>
        <v>1</v>
      </c>
      <c r="Y20" s="1" t="n">
        <f aca="false">TRUE()</f>
        <v>1</v>
      </c>
      <c r="Z20" s="1" t="n">
        <f aca="false">TRUE()</f>
        <v>1</v>
      </c>
      <c r="AA20" s="1" t="n">
        <f aca="false">FALSE()</f>
        <v>0</v>
      </c>
      <c r="AB20" s="1" t="n">
        <f aca="false">TRUE()</f>
        <v>1</v>
      </c>
      <c r="AC20" s="1" t="n">
        <f aca="false">TRUE()</f>
        <v>1</v>
      </c>
      <c r="AD20" s="1" t="n">
        <f aca="false">FALSE()</f>
        <v>0</v>
      </c>
      <c r="AE20" s="1" t="n">
        <f aca="false">FALSE()</f>
        <v>0</v>
      </c>
      <c r="AF20" s="1" t="n">
        <f aca="false">TRUE()</f>
        <v>1</v>
      </c>
      <c r="AG20" s="1" t="n">
        <f aca="false">TRUE()</f>
        <v>1</v>
      </c>
      <c r="AH20" s="1" t="n">
        <f aca="false">FALSE()</f>
        <v>0</v>
      </c>
      <c r="AI20" s="1" t="n">
        <f aca="false">TRUE()</f>
        <v>1</v>
      </c>
      <c r="AJ20" s="1" t="n">
        <f aca="false">FALSE()</f>
        <v>0</v>
      </c>
      <c r="AK20" s="1" t="n">
        <f aca="false" t="array" ref="AK20:AK20">SUM(IF(Q20:U20,1,0))</f>
        <v>5</v>
      </c>
      <c r="AL20" s="14" t="n">
        <f aca="false" t="array" ref="AL20:AL20">SUM(IF(V20:Z20,1,0))</f>
        <v>5</v>
      </c>
      <c r="AM20" s="14" t="n">
        <f aca="false" t="array" ref="AM20:AM20">SUM(IF(AA20:AE20,1,0))</f>
        <v>2</v>
      </c>
      <c r="AN20" s="14" t="n">
        <f aca="false" t="array" ref="AN20:AN20">SUM(IF(AF20:AJ20,1,0))</f>
        <v>3</v>
      </c>
      <c r="AO20" s="1" t="n">
        <f aca="false">FALSE()</f>
        <v>0</v>
      </c>
      <c r="AP20" s="1" t="n">
        <f aca="false">IF(O20 = 2,COUNTIF(Q20:AJ20,"TRUE"),-1)</f>
        <v>15</v>
      </c>
    </row>
    <row r="21" customFormat="false" ht="15.75" hidden="false" customHeight="false" outlineLevel="0" collapsed="false">
      <c r="A21" s="8" t="e">
        <f aca="true">INDIRECT("'Ответы на форму (1)'!A"&amp;$N21,TRUE())</f>
        <v>#REF!</v>
      </c>
      <c r="B21" s="0" t="e">
        <f aca="true">INDIRECT("'Ответы на форму (1)'!B"&amp;$N21,TRUE())</f>
        <v>#REF!</v>
      </c>
      <c r="C21" s="0" t="e">
        <f aca="true">INDIRECT("'Ответы на форму (1)'!C"&amp;$N21,TRUE())</f>
        <v>#REF!</v>
      </c>
      <c r="D21" s="0" t="e">
        <f aca="true">INDIRECT("'Ответы на форму (1)'!D"&amp;$N21,TRUE())</f>
        <v>#REF!</v>
      </c>
      <c r="E21" s="0" t="n">
        <f aca="false">IFERROR(__xludf.dummyfunction("iferror(VALUE(REGEXEXTRACT(TEXT(INDIRECT(""'Ответы на форму (1)'!E""&amp;$N21,TRUE),""####""),""[0-9]+"")),IF(IFERROR(SEARCH(""моцро"",INDIRECT(""'Ответы на форму (1)'!E""&amp;$N21,TRUE)),-1) &gt;= 0,117,INDIRECT(""'Ответы на форму (1)'!E""&amp;$N21,TRUE)))"),117)</f>
        <v>117</v>
      </c>
      <c r="F21" s="0" t="e">
        <f aca="true">INDIRECT("'Ответы на форму (1)'!F"&amp;$N21,TRUE())</f>
        <v>#REF!</v>
      </c>
      <c r="G21" s="9" t="e">
        <f aca="true">IFERROR(MID(INDIRECT("'Ответы на форму (1)'!G"&amp;$N21,TRUE()),SEARCH("vk.com",INDIRECT("'Ответы на форму (1)'!G"&amp;$N21,TRUE())),LEN(INDIRECT("'Ответы на форму (1)'!G"&amp;$N21,TRUE()))),INDIRECT("'Ответы на форму (1)'!G"&amp;$N21,TRUE()))</f>
        <v>#REF!</v>
      </c>
      <c r="H21" s="0" t="e">
        <f aca="true">INDIRECT("'Ответы на форму (1)'!H"&amp;$N21,TRUE())</f>
        <v>#REF!</v>
      </c>
      <c r="I21" s="12" t="e">
        <f aca="true">INDIRECT("'Ответы на форму (1)'!I"&amp;$N21,TRUE())</f>
        <v>#REF!</v>
      </c>
      <c r="J21" s="12" t="e">
        <f aca="true">INDIRECT("'Ответы на форму (1)'!J"&amp;$N21,TRUE())</f>
        <v>#REF!</v>
      </c>
      <c r="K21" s="12" t="e">
        <f aca="true">INDIRECT("'Ответы на форму (1)'!K"&amp;$N21,TRUE())</f>
        <v>#REF!</v>
      </c>
      <c r="L21" s="12" t="e">
        <f aca="true">INDIRECT("'Ответы на форму (1)'!L"&amp;$N21,TRUE())</f>
        <v>#REF!</v>
      </c>
      <c r="M21" s="0" t="e">
        <f aca="false" t="array" ref="M21:M21">IF(B21 &lt;&gt; "",IF(COUNTIF(concat(TRIM('Список прошлого года'!$B$2:$B$200),TRIM('Список прошлого года'!$C$2:$C$200)),concat(TRIM(B21),TRIM(C21))) &gt; 0,"Да","Нет"),"")</f>
        <v>#REF!</v>
      </c>
      <c r="N21" s="1" t="n">
        <v>24</v>
      </c>
      <c r="O21" s="13" t="n">
        <v>2</v>
      </c>
      <c r="Q21" s="1" t="n">
        <f aca="false">TRUE()</f>
        <v>1</v>
      </c>
      <c r="R21" s="1" t="n">
        <f aca="false">TRUE()</f>
        <v>1</v>
      </c>
      <c r="S21" s="1" t="n">
        <f aca="false">TRUE()</f>
        <v>1</v>
      </c>
      <c r="T21" s="1" t="n">
        <f aca="false">TRUE()</f>
        <v>1</v>
      </c>
      <c r="U21" s="1" t="n">
        <f aca="false">TRUE()</f>
        <v>1</v>
      </c>
      <c r="V21" s="1" t="n">
        <f aca="false">TRUE()</f>
        <v>1</v>
      </c>
      <c r="W21" s="1" t="n">
        <f aca="false">TRUE()</f>
        <v>1</v>
      </c>
      <c r="X21" s="1" t="n">
        <f aca="false">FALSE()</f>
        <v>0</v>
      </c>
      <c r="Y21" s="1" t="n">
        <f aca="false">TRUE()</f>
        <v>1</v>
      </c>
      <c r="Z21" s="1" t="n">
        <f aca="false">TRUE()</f>
        <v>1</v>
      </c>
      <c r="AA21" s="1" t="n">
        <f aca="false">TRUE()</f>
        <v>1</v>
      </c>
      <c r="AB21" s="1" t="n">
        <f aca="false">FALSE()</f>
        <v>0</v>
      </c>
      <c r="AC21" s="1" t="n">
        <f aca="false">FALSE()</f>
        <v>0</v>
      </c>
      <c r="AD21" s="1" t="n">
        <f aca="false">FALSE()</f>
        <v>0</v>
      </c>
      <c r="AE21" s="1" t="n">
        <f aca="false">FALSE()</f>
        <v>0</v>
      </c>
      <c r="AF21" s="1" t="n">
        <f aca="false">TRUE()</f>
        <v>1</v>
      </c>
      <c r="AG21" s="1" t="n">
        <f aca="false">TRUE()</f>
        <v>1</v>
      </c>
      <c r="AH21" s="1" t="n">
        <f aca="false">FALSE()</f>
        <v>0</v>
      </c>
      <c r="AI21" s="1" t="n">
        <f aca="false">FALSE()</f>
        <v>0</v>
      </c>
      <c r="AJ21" s="1" t="n">
        <f aca="false">FALSE()</f>
        <v>0</v>
      </c>
      <c r="AK21" s="1" t="n">
        <f aca="false" t="array" ref="AK21:AK21">SUM(IF(Q21:U21,1,0))</f>
        <v>5</v>
      </c>
      <c r="AL21" s="14" t="n">
        <f aca="false" t="array" ref="AL21:AL21">SUM(IF(V21:Z21,1,0))</f>
        <v>4</v>
      </c>
      <c r="AM21" s="14" t="n">
        <f aca="false" t="array" ref="AM21:AM21">SUM(IF(AA21:AE21,1,0))</f>
        <v>1</v>
      </c>
      <c r="AN21" s="14" t="n">
        <f aca="false" t="array" ref="AN21:AN21">SUM(IF(AF21:AJ21,1,0))</f>
        <v>2</v>
      </c>
      <c r="AO21" s="1" t="n">
        <f aca="false">FALSE()</f>
        <v>0</v>
      </c>
      <c r="AP21" s="1" t="n">
        <f aca="false">IF(O21 = 2,COUNTIF(Q21:AJ21,"TRUE"),-1)</f>
        <v>12</v>
      </c>
    </row>
    <row r="22" customFormat="false" ht="15.75" hidden="false" customHeight="false" outlineLevel="0" collapsed="false">
      <c r="A22" s="8" t="e">
        <f aca="true">INDIRECT("'Ответы на форму (1)'!A"&amp;$N22,TRUE())</f>
        <v>#REF!</v>
      </c>
      <c r="B22" s="0" t="e">
        <f aca="true">INDIRECT("'Ответы на форму (1)'!B"&amp;$N22,TRUE())</f>
        <v>#REF!</v>
      </c>
      <c r="C22" s="0" t="e">
        <f aca="true">INDIRECT("'Ответы на форму (1)'!C"&amp;$N22,TRUE())</f>
        <v>#REF!</v>
      </c>
      <c r="D22" s="0" t="e">
        <f aca="true">INDIRECT("'Ответы на форму (1)'!D"&amp;$N22,TRUE())</f>
        <v>#REF!</v>
      </c>
      <c r="E22" s="0" t="n">
        <f aca="false">IFERROR(__xludf.dummyfunction("iferror(VALUE(REGEXEXTRACT(TEXT(INDIRECT(""'Ответы на форму (1)'!E""&amp;$N22,TRUE),""####""),""[0-9]+"")),IF(IFERROR(SEARCH(""моцро"",INDIRECT(""'Ответы на форму (1)'!E""&amp;$N22,TRUE)),-1) &gt;= 0,117,INDIRECT(""'Ответы на форму (1)'!E""&amp;$N22,TRUE)))"),117)</f>
        <v>117</v>
      </c>
      <c r="F22" s="0" t="e">
        <f aca="true">INDIRECT("'Ответы на форму (1)'!F"&amp;$N22,TRUE())</f>
        <v>#REF!</v>
      </c>
      <c r="G22" s="9" t="e">
        <f aca="true">IFERROR(MID(INDIRECT("'Ответы на форму (1)'!G"&amp;$N22,TRUE()),SEARCH("vk.com",INDIRECT("'Ответы на форму (1)'!G"&amp;$N22,TRUE())),LEN(INDIRECT("'Ответы на форму (1)'!G"&amp;$N22,TRUE()))),INDIRECT("'Ответы на форму (1)'!G"&amp;$N22,TRUE()))</f>
        <v>#REF!</v>
      </c>
      <c r="H22" s="0" t="e">
        <f aca="true">INDIRECT("'Ответы на форму (1)'!H"&amp;$N22,TRUE())</f>
        <v>#REF!</v>
      </c>
      <c r="I22" s="12" t="e">
        <f aca="true">INDIRECT("'Ответы на форму (1)'!I"&amp;$N22,TRUE())</f>
        <v>#REF!</v>
      </c>
      <c r="J22" s="12" t="e">
        <f aca="true">INDIRECT("'Ответы на форму (1)'!J"&amp;$N22,TRUE())</f>
        <v>#REF!</v>
      </c>
      <c r="K22" s="12" t="e">
        <f aca="true">INDIRECT("'Ответы на форму (1)'!K"&amp;$N22,TRUE())</f>
        <v>#REF!</v>
      </c>
      <c r="L22" s="12" t="e">
        <f aca="true">INDIRECT("'Ответы на форму (1)'!L"&amp;$N22,TRUE())</f>
        <v>#REF!</v>
      </c>
      <c r="M22" s="0" t="e">
        <f aca="false" t="array" ref="M22:M22">IF(B22 &lt;&gt; "",IF(COUNTIF(concat(TRIM('Список прошлого года'!$B$2:$B$200),TRIM('Список прошлого года'!$C$2:$C$200)),concat(TRIM(B22),TRIM(C22))) &gt; 0,"Да","Нет"),"")</f>
        <v>#REF!</v>
      </c>
      <c r="N22" s="1" t="n">
        <v>25</v>
      </c>
      <c r="O22" s="13" t="n">
        <v>2</v>
      </c>
      <c r="Q22" s="1" t="n">
        <f aca="false">FALSE()</f>
        <v>0</v>
      </c>
      <c r="R22" s="1" t="n">
        <f aca="false">FALSE()</f>
        <v>0</v>
      </c>
      <c r="S22" s="1" t="n">
        <f aca="false">FALSE()</f>
        <v>0</v>
      </c>
      <c r="T22" s="1" t="n">
        <f aca="false">FALSE()</f>
        <v>0</v>
      </c>
      <c r="U22" s="1" t="n">
        <f aca="false">FALSE()</f>
        <v>0</v>
      </c>
      <c r="V22" s="1" t="n">
        <f aca="false">FALSE()</f>
        <v>0</v>
      </c>
      <c r="W22" s="1" t="n">
        <f aca="false">FALSE()</f>
        <v>0</v>
      </c>
      <c r="X22" s="1" t="n">
        <f aca="false">FALSE()</f>
        <v>0</v>
      </c>
      <c r="Y22" s="1" t="n">
        <f aca="false">FALSE()</f>
        <v>0</v>
      </c>
      <c r="Z22" s="1" t="n">
        <f aca="false">FALSE()</f>
        <v>0</v>
      </c>
      <c r="AA22" s="1" t="n">
        <f aca="false">FALSE()</f>
        <v>0</v>
      </c>
      <c r="AB22" s="1" t="n">
        <f aca="false">FALSE()</f>
        <v>0</v>
      </c>
      <c r="AC22" s="1" t="n">
        <f aca="false">FALSE()</f>
        <v>0</v>
      </c>
      <c r="AD22" s="1" t="n">
        <f aca="false">FALSE()</f>
        <v>0</v>
      </c>
      <c r="AE22" s="1" t="n">
        <f aca="false">FALSE()</f>
        <v>0</v>
      </c>
      <c r="AF22" s="1" t="n">
        <f aca="false">FALSE()</f>
        <v>0</v>
      </c>
      <c r="AG22" s="1" t="n">
        <f aca="false">FALSE()</f>
        <v>0</v>
      </c>
      <c r="AH22" s="1" t="n">
        <f aca="false">FALSE()</f>
        <v>0</v>
      </c>
      <c r="AI22" s="1" t="n">
        <f aca="false">FALSE()</f>
        <v>0</v>
      </c>
      <c r="AJ22" s="1" t="n">
        <f aca="false">FALSE()</f>
        <v>0</v>
      </c>
      <c r="AK22" s="1" t="n">
        <f aca="false" t="array" ref="AK22:AK22">SUM(IF(Q22:U22,1,0))</f>
        <v>0</v>
      </c>
      <c r="AL22" s="14" t="n">
        <f aca="false" t="array" ref="AL22:AL22">SUM(IF(V22:Z22,1,0))</f>
        <v>0</v>
      </c>
      <c r="AM22" s="14" t="n">
        <f aca="false" t="array" ref="AM22:AM22">SUM(IF(AA22:AE22,1,0))</f>
        <v>0</v>
      </c>
      <c r="AN22" s="14" t="n">
        <f aca="false" t="array" ref="AN22:AN22">SUM(IF(AF22:AJ22,1,0))</f>
        <v>0</v>
      </c>
      <c r="AO22" s="1" t="n">
        <f aca="false">FALSE()</f>
        <v>0</v>
      </c>
      <c r="AP22" s="1" t="n">
        <f aca="false">IF(O22 = 2,COUNTIF(Q22:AJ22,"TRUE"),-1)</f>
        <v>0</v>
      </c>
    </row>
    <row r="23" customFormat="false" ht="15.75" hidden="false" customHeight="false" outlineLevel="0" collapsed="false">
      <c r="A23" s="8" t="e">
        <f aca="true">INDIRECT("'Ответы на форму (1)'!A"&amp;$N23,TRUE())</f>
        <v>#REF!</v>
      </c>
      <c r="B23" s="0" t="e">
        <f aca="true">INDIRECT("'Ответы на форму (1)'!B"&amp;$N23,TRUE())</f>
        <v>#REF!</v>
      </c>
      <c r="C23" s="0" t="e">
        <f aca="true">INDIRECT("'Ответы на форму (1)'!C"&amp;$N23,TRUE())</f>
        <v>#REF!</v>
      </c>
      <c r="D23" s="0" t="e">
        <f aca="true">INDIRECT("'Ответы на форму (1)'!D"&amp;$N23,TRUE())</f>
        <v>#REF!</v>
      </c>
      <c r="E23" s="0" t="n">
        <f aca="false">IFERROR(__xludf.dummyfunction("iferror(VALUE(REGEXEXTRACT(TEXT(INDIRECT(""'Ответы на форму (1)'!E""&amp;$N23,TRUE),""####""),""[0-9]+"")),IF(IFERROR(SEARCH(""моцро"",INDIRECT(""'Ответы на форму (1)'!E""&amp;$N23,TRUE)),-1) &gt;= 0,117,INDIRECT(""'Ответы на форму (1)'!E""&amp;$N23,TRUE)))"),12)</f>
        <v>12</v>
      </c>
      <c r="F23" s="0" t="e">
        <f aca="true">INDIRECT("'Ответы на форму (1)'!F"&amp;$N23,TRUE())</f>
        <v>#REF!</v>
      </c>
      <c r="G23" s="9" t="e">
        <f aca="true">IFERROR(MID(INDIRECT("'Ответы на форму (1)'!G"&amp;$N23,TRUE()),SEARCH("vk.com",INDIRECT("'Ответы на форму (1)'!G"&amp;$N23,TRUE())),LEN(INDIRECT("'Ответы на форму (1)'!G"&amp;$N23,TRUE()))),INDIRECT("'Ответы на форму (1)'!G"&amp;$N23,TRUE()))</f>
        <v>#REF!</v>
      </c>
      <c r="H23" s="0" t="e">
        <f aca="true">INDIRECT("'Ответы на форму (1)'!H"&amp;$N23,TRUE())</f>
        <v>#REF!</v>
      </c>
      <c r="I23" s="12" t="e">
        <f aca="true">INDIRECT("'Ответы на форму (1)'!I"&amp;$N23,TRUE())</f>
        <v>#REF!</v>
      </c>
      <c r="J23" s="12" t="e">
        <f aca="true">INDIRECT("'Ответы на форму (1)'!J"&amp;$N23,TRUE())</f>
        <v>#REF!</v>
      </c>
      <c r="K23" s="12" t="e">
        <f aca="true">INDIRECT("'Ответы на форму (1)'!K"&amp;$N23,TRUE())</f>
        <v>#REF!</v>
      </c>
      <c r="L23" s="12" t="e">
        <f aca="true">INDIRECT("'Ответы на форму (1)'!L"&amp;$N23,TRUE())</f>
        <v>#REF!</v>
      </c>
      <c r="M23" s="0" t="e">
        <f aca="false" t="array" ref="M23:M23">IF(B23 &lt;&gt; "",IF(COUNTIF(concat(TRIM('Список прошлого года'!$B$2:$B$200),TRIM('Список прошлого года'!$C$2:$C$200)),concat(TRIM(B23),TRIM(C23))) &gt; 0,"Да","Нет"),"")</f>
        <v>#REF!</v>
      </c>
      <c r="N23" s="1" t="n">
        <v>26</v>
      </c>
      <c r="O23" s="1" t="n">
        <v>2</v>
      </c>
      <c r="Q23" s="1" t="n">
        <f aca="false">TRUE()</f>
        <v>1</v>
      </c>
      <c r="R23" s="1" t="n">
        <f aca="false">TRUE()</f>
        <v>1</v>
      </c>
      <c r="S23" s="1" t="n">
        <f aca="false">FALSE()</f>
        <v>0</v>
      </c>
      <c r="T23" s="1" t="n">
        <f aca="false">TRUE()</f>
        <v>1</v>
      </c>
      <c r="U23" s="1" t="n">
        <f aca="false">TRUE()</f>
        <v>1</v>
      </c>
      <c r="V23" s="1" t="n">
        <f aca="false">TRUE()</f>
        <v>1</v>
      </c>
      <c r="W23" s="1" t="n">
        <f aca="false">TRUE()</f>
        <v>1</v>
      </c>
      <c r="X23" s="1" t="n">
        <f aca="false">FALSE()</f>
        <v>0</v>
      </c>
      <c r="Y23" s="1" t="n">
        <f aca="false">TRUE()</f>
        <v>1</v>
      </c>
      <c r="Z23" s="1" t="n">
        <f aca="false">TRUE()</f>
        <v>1</v>
      </c>
      <c r="AA23" s="1" t="n">
        <f aca="false">TRUE()</f>
        <v>1</v>
      </c>
      <c r="AB23" s="1" t="n">
        <f aca="false">TRUE()</f>
        <v>1</v>
      </c>
      <c r="AC23" s="1" t="n">
        <f aca="false">TRUE()</f>
        <v>1</v>
      </c>
      <c r="AD23" s="1" t="n">
        <f aca="false">TRUE()</f>
        <v>1</v>
      </c>
      <c r="AE23" s="1" t="n">
        <f aca="false">TRUE()</f>
        <v>1</v>
      </c>
      <c r="AF23" s="1" t="n">
        <f aca="false">TRUE()</f>
        <v>1</v>
      </c>
      <c r="AG23" s="1" t="n">
        <f aca="false">TRUE()</f>
        <v>1</v>
      </c>
      <c r="AH23" s="1" t="n">
        <f aca="false">FALSE()</f>
        <v>0</v>
      </c>
      <c r="AI23" s="1" t="n">
        <f aca="false">TRUE()</f>
        <v>1</v>
      </c>
      <c r="AJ23" s="1" t="n">
        <f aca="false">TRUE()</f>
        <v>1</v>
      </c>
      <c r="AK23" s="1" t="n">
        <f aca="false" t="array" ref="AK23:AK23">SUM(IF(Q23:U23,1,0))</f>
        <v>4</v>
      </c>
      <c r="AL23" s="14" t="n">
        <f aca="false" t="array" ref="AL23:AL23">SUM(IF(V23:Z23,1,0))</f>
        <v>4</v>
      </c>
      <c r="AM23" s="14" t="n">
        <f aca="false" t="array" ref="AM23:AM23">SUM(IF(AA23:AE23,1,0))</f>
        <v>5</v>
      </c>
      <c r="AN23" s="14" t="n">
        <f aca="false" t="array" ref="AN23:AN23">SUM(IF(AF23:AJ23,1,0))</f>
        <v>4</v>
      </c>
      <c r="AO23" s="1" t="n">
        <f aca="false">FALSE()</f>
        <v>0</v>
      </c>
      <c r="AP23" s="1" t="n">
        <f aca="false">IF(O23 = 2,COUNTIF(Q23:AJ23,"TRUE"),-1)</f>
        <v>17</v>
      </c>
    </row>
    <row r="24" customFormat="false" ht="15.75" hidden="false" customHeight="false" outlineLevel="0" collapsed="false">
      <c r="A24" s="8" t="e">
        <f aca="true">INDIRECT("'Ответы на форму (1)'!A"&amp;$N24,TRUE())</f>
        <v>#REF!</v>
      </c>
      <c r="B24" s="0" t="e">
        <f aca="true">INDIRECT("'Ответы на форму (1)'!B"&amp;$N24,TRUE())</f>
        <v>#REF!</v>
      </c>
      <c r="C24" s="0" t="e">
        <f aca="true">INDIRECT("'Ответы на форму (1)'!C"&amp;$N24,TRUE())</f>
        <v>#REF!</v>
      </c>
      <c r="D24" s="0" t="e">
        <f aca="true">INDIRECT("'Ответы на форму (1)'!D"&amp;$N24,TRUE())</f>
        <v>#REF!</v>
      </c>
      <c r="E24" s="0" t="str">
        <f aca="false">IFERROR(__xludf.dummyfunction("iferror(VALUE(REGEXEXTRACT(TEXT(INDIRECT(""'Ответы на форму (1)'!E""&amp;$N24,TRUE),""####""),""[0-9]+"")),IF(IFERROR(SEARCH(""моцро"",INDIRECT(""'Ответы на форму (1)'!E""&amp;$N24,TRUE)),-1) &gt;= 0,117,INDIRECT(""'Ответы на форму (1)'!E""&amp;$N24,TRUE)))"),"Ключевская школа")</f>
        <v>Ключевская школа</v>
      </c>
      <c r="F24" s="0" t="e">
        <f aca="true">INDIRECT("'Ответы на форму (1)'!F"&amp;$N24,TRUE())</f>
        <v>#REF!</v>
      </c>
      <c r="G24" s="9" t="e">
        <f aca="true">IFERROR(MID(INDIRECT("'Ответы на форму (1)'!G"&amp;$N24,TRUE()),SEARCH("vk.com",INDIRECT("'Ответы на форму (1)'!G"&amp;$N24,TRUE())),LEN(INDIRECT("'Ответы на форму (1)'!G"&amp;$N24,TRUE()))),INDIRECT("'Ответы на форму (1)'!G"&amp;$N24,TRUE()))</f>
        <v>#REF!</v>
      </c>
      <c r="H24" s="0" t="e">
        <f aca="true">INDIRECT("'Ответы на форму (1)'!H"&amp;$N24,TRUE())</f>
        <v>#REF!</v>
      </c>
      <c r="I24" s="12" t="e">
        <f aca="true">INDIRECT("'Ответы на форму (1)'!I"&amp;$N24,TRUE())</f>
        <v>#REF!</v>
      </c>
      <c r="J24" s="12" t="e">
        <f aca="true">INDIRECT("'Ответы на форму (1)'!J"&amp;$N24,TRUE())</f>
        <v>#REF!</v>
      </c>
      <c r="K24" s="12" t="e">
        <f aca="true">INDIRECT("'Ответы на форму (1)'!K"&amp;$N24,TRUE())</f>
        <v>#REF!</v>
      </c>
      <c r="L24" s="12" t="e">
        <f aca="true">INDIRECT("'Ответы на форму (1)'!L"&amp;$N24,TRUE())</f>
        <v>#REF!</v>
      </c>
      <c r="M24" s="0" t="e">
        <f aca="false" t="array" ref="M24:M24">IF(B24 &lt;&gt; "",IF(COUNTIF(concat(TRIM('Список прошлого года'!$B$2:$B$200),TRIM('Список прошлого года'!$C$2:$C$200)),concat(TRIM(B24),TRIM(C24))) &gt; 0,"Да","Нет"),"")</f>
        <v>#REF!</v>
      </c>
      <c r="N24" s="1" t="n">
        <v>27</v>
      </c>
      <c r="O24" s="13" t="n">
        <v>2</v>
      </c>
      <c r="Q24" s="1" t="n">
        <f aca="false">TRUE()</f>
        <v>1</v>
      </c>
      <c r="R24" s="1" t="n">
        <f aca="false">TRUE()</f>
        <v>1</v>
      </c>
      <c r="S24" s="1" t="n">
        <f aca="false">FALSE()</f>
        <v>0</v>
      </c>
      <c r="T24" s="1" t="n">
        <f aca="false">TRUE()</f>
        <v>1</v>
      </c>
      <c r="U24" s="1" t="n">
        <f aca="false">TRUE()</f>
        <v>1</v>
      </c>
      <c r="V24" s="1" t="n">
        <f aca="false">TRUE()</f>
        <v>1</v>
      </c>
      <c r="W24" s="1" t="n">
        <f aca="false">TRUE()</f>
        <v>1</v>
      </c>
      <c r="X24" s="1" t="n">
        <f aca="false">FALSE()</f>
        <v>0</v>
      </c>
      <c r="Y24" s="1" t="n">
        <f aca="false">TRUE()</f>
        <v>1</v>
      </c>
      <c r="Z24" s="1" t="n">
        <f aca="false">TRUE()</f>
        <v>1</v>
      </c>
      <c r="AA24" s="1" t="n">
        <f aca="false">TRUE()</f>
        <v>1</v>
      </c>
      <c r="AB24" s="1" t="n">
        <f aca="false">TRUE()</f>
        <v>1</v>
      </c>
      <c r="AC24" s="1" t="n">
        <f aca="false">TRUE()</f>
        <v>1</v>
      </c>
      <c r="AD24" s="1" t="n">
        <f aca="false">TRUE()</f>
        <v>1</v>
      </c>
      <c r="AE24" s="1" t="n">
        <f aca="false">TRUE()</f>
        <v>1</v>
      </c>
      <c r="AF24" s="1" t="n">
        <f aca="false">TRUE()</f>
        <v>1</v>
      </c>
      <c r="AG24" s="1" t="n">
        <f aca="false">TRUE()</f>
        <v>1</v>
      </c>
      <c r="AH24" s="1" t="n">
        <f aca="false">FALSE()</f>
        <v>0</v>
      </c>
      <c r="AI24" s="1" t="n">
        <f aca="false">TRUE()</f>
        <v>1</v>
      </c>
      <c r="AJ24" s="1" t="n">
        <f aca="false">TRUE()</f>
        <v>1</v>
      </c>
      <c r="AK24" s="1" t="n">
        <f aca="false" t="array" ref="AK24:AK24">SUM(IF(Q24:U24,1,0))</f>
        <v>4</v>
      </c>
      <c r="AL24" s="14" t="n">
        <f aca="false" t="array" ref="AL24:AL24">SUM(IF(V24:Z24,1,0))</f>
        <v>4</v>
      </c>
      <c r="AM24" s="14" t="n">
        <f aca="false" t="array" ref="AM24:AM24">SUM(IF(AA24:AE24,1,0))</f>
        <v>5</v>
      </c>
      <c r="AN24" s="14" t="n">
        <f aca="false" t="array" ref="AN24:AN24">SUM(IF(AF24:AJ24,1,0))</f>
        <v>4</v>
      </c>
      <c r="AO24" s="1" t="n">
        <f aca="false">FALSE()</f>
        <v>0</v>
      </c>
      <c r="AP24" s="1" t="n">
        <f aca="false">IF(O24 = 2,COUNTIF(Q24:AJ24,"TRUE"),-1)</f>
        <v>17</v>
      </c>
    </row>
    <row r="25" customFormat="false" ht="15.75" hidden="false" customHeight="false" outlineLevel="0" collapsed="false">
      <c r="A25" s="8" t="e">
        <f aca="true">INDIRECT("'Ответы на форму (1)'!A"&amp;$N25,TRUE())</f>
        <v>#REF!</v>
      </c>
      <c r="B25" s="0" t="e">
        <f aca="true">INDIRECT("'Ответы на форму (1)'!B"&amp;$N25,TRUE())</f>
        <v>#REF!</v>
      </c>
      <c r="C25" s="0" t="e">
        <f aca="true">INDIRECT("'Ответы на форму (1)'!C"&amp;$N25,TRUE())</f>
        <v>#REF!</v>
      </c>
      <c r="D25" s="0" t="e">
        <f aca="true">INDIRECT("'Ответы на форму (1)'!D"&amp;$N25,TRUE())</f>
        <v>#REF!</v>
      </c>
      <c r="E25" s="0" t="n">
        <f aca="false">IFERROR(__xludf.dummyfunction("iferror(VALUE(REGEXEXTRACT(TEXT(INDIRECT(""'Ответы на форму (1)'!E""&amp;$N25,TRUE),""####""),""[0-9]+"")),IF(IFERROR(SEARCH(""моцро"",INDIRECT(""'Ответы на форму (1)'!E""&amp;$N25,TRUE)),-1) &gt;= 0,117,INDIRECT(""'Ответы на форму (1)'!E""&amp;$N25,TRUE)))"),117)</f>
        <v>117</v>
      </c>
      <c r="F25" s="0" t="e">
        <f aca="true">INDIRECT("'Ответы на форму (1)'!F"&amp;$N25,TRUE())</f>
        <v>#REF!</v>
      </c>
      <c r="G25" s="9" t="e">
        <f aca="true">IFERROR(MID(INDIRECT("'Ответы на форму (1)'!G"&amp;$N25,TRUE()),SEARCH("vk.com",INDIRECT("'Ответы на форму (1)'!G"&amp;$N25,TRUE())),LEN(INDIRECT("'Ответы на форму (1)'!G"&amp;$N25,TRUE()))),INDIRECT("'Ответы на форму (1)'!G"&amp;$N25,TRUE()))</f>
        <v>#REF!</v>
      </c>
      <c r="H25" s="0" t="e">
        <f aca="true">INDIRECT("'Ответы на форму (1)'!H"&amp;$N25,TRUE())</f>
        <v>#REF!</v>
      </c>
      <c r="I25" s="12" t="e">
        <f aca="true">INDIRECT("'Ответы на форму (1)'!I"&amp;$N25,TRUE())</f>
        <v>#REF!</v>
      </c>
      <c r="J25" s="12" t="e">
        <f aca="true">INDIRECT("'Ответы на форму (1)'!J"&amp;$N25,TRUE())</f>
        <v>#REF!</v>
      </c>
      <c r="K25" s="12" t="e">
        <f aca="true">INDIRECT("'Ответы на форму (1)'!K"&amp;$N25,TRUE())</f>
        <v>#REF!</v>
      </c>
      <c r="L25" s="12" t="e">
        <f aca="true">INDIRECT("'Ответы на форму (1)'!L"&amp;$N25,TRUE())</f>
        <v>#REF!</v>
      </c>
      <c r="M25" s="0" t="e">
        <f aca="false" t="array" ref="M25:M25">IF(B25 &lt;&gt; "",IF(COUNTIF(concat(TRIM('Список прошлого года'!$B$2:$B$200),TRIM('Список прошлого года'!$C$2:$C$200)),concat(TRIM(B25),TRIM(C25))) &gt; 0,"Да","Нет"),"")</f>
        <v>#REF!</v>
      </c>
      <c r="N25" s="1" t="n">
        <v>28</v>
      </c>
      <c r="O25" s="13" t="n">
        <v>2</v>
      </c>
      <c r="Q25" s="1" t="n">
        <f aca="false">TRUE()</f>
        <v>1</v>
      </c>
      <c r="R25" s="1" t="n">
        <f aca="false">TRUE()</f>
        <v>1</v>
      </c>
      <c r="S25" s="1" t="n">
        <f aca="false">TRUE()</f>
        <v>1</v>
      </c>
      <c r="T25" s="1" t="n">
        <f aca="false">TRUE()</f>
        <v>1</v>
      </c>
      <c r="U25" s="1" t="n">
        <f aca="false">FALSE()</f>
        <v>0</v>
      </c>
      <c r="V25" s="1" t="n">
        <f aca="false">FALSE()</f>
        <v>0</v>
      </c>
      <c r="W25" s="1" t="n">
        <f aca="false">TRUE()</f>
        <v>1</v>
      </c>
      <c r="X25" s="1" t="n">
        <f aca="false">FALSE()</f>
        <v>0</v>
      </c>
      <c r="Y25" s="1" t="n">
        <f aca="false">TRUE()</f>
        <v>1</v>
      </c>
      <c r="Z25" s="1" t="n">
        <f aca="false">FALSE()</f>
        <v>0</v>
      </c>
      <c r="AA25" s="1" t="n">
        <f aca="false">TRUE()</f>
        <v>1</v>
      </c>
      <c r="AB25" s="1" t="n">
        <f aca="false">TRUE()</f>
        <v>1</v>
      </c>
      <c r="AC25" s="1" t="n">
        <f aca="false">TRUE()</f>
        <v>1</v>
      </c>
      <c r="AD25" s="1" t="n">
        <f aca="false">TRUE()</f>
        <v>1</v>
      </c>
      <c r="AE25" s="1" t="n">
        <f aca="false">FALSE()</f>
        <v>0</v>
      </c>
      <c r="AF25" s="1" t="n">
        <f aca="false">TRUE()</f>
        <v>1</v>
      </c>
      <c r="AG25" s="1" t="n">
        <f aca="false">TRUE()</f>
        <v>1</v>
      </c>
      <c r="AH25" s="1" t="n">
        <f aca="false">TRUE()</f>
        <v>1</v>
      </c>
      <c r="AI25" s="1" t="n">
        <f aca="false">TRUE()</f>
        <v>1</v>
      </c>
      <c r="AJ25" s="1" t="n">
        <f aca="false">TRUE()</f>
        <v>1</v>
      </c>
      <c r="AK25" s="1" t="n">
        <f aca="false" t="array" ref="AK25:AK25">SUM(IF(Q25:U25,1,0))</f>
        <v>4</v>
      </c>
      <c r="AL25" s="14" t="n">
        <f aca="false" t="array" ref="AL25:AL25">SUM(IF(V25:Z25,1,0))</f>
        <v>2</v>
      </c>
      <c r="AM25" s="14" t="n">
        <f aca="false" t="array" ref="AM25:AM25">SUM(IF(AA25:AE25,1,0))</f>
        <v>4</v>
      </c>
      <c r="AN25" s="14" t="n">
        <f aca="false" t="array" ref="AN25:AN25">SUM(IF(AF25:AJ25,1,0))</f>
        <v>5</v>
      </c>
      <c r="AO25" s="1" t="n">
        <f aca="false">FALSE()</f>
        <v>0</v>
      </c>
      <c r="AP25" s="1" t="n">
        <f aca="false">IF(O25 = 2,COUNTIF(Q25:AJ25,"TRUE"),-1)</f>
        <v>15</v>
      </c>
    </row>
    <row r="26" customFormat="false" ht="15.75" hidden="false" customHeight="false" outlineLevel="0" collapsed="false">
      <c r="A26" s="8" t="e">
        <f aca="true">INDIRECT("'Ответы на форму (1)'!A"&amp;$N26,TRUE())</f>
        <v>#REF!</v>
      </c>
      <c r="B26" s="0" t="e">
        <f aca="true">INDIRECT("'Ответы на форму (1)'!B"&amp;$N26,TRUE())</f>
        <v>#REF!</v>
      </c>
      <c r="C26" s="0" t="e">
        <f aca="true">INDIRECT("'Ответы на форму (1)'!C"&amp;$N26,TRUE())</f>
        <v>#REF!</v>
      </c>
      <c r="D26" s="0" t="e">
        <f aca="true">INDIRECT("'Ответы на форму (1)'!D"&amp;$N26,TRUE())</f>
        <v>#REF!</v>
      </c>
      <c r="E26" s="0" t="n">
        <f aca="false">IFERROR(__xludf.dummyfunction("iferror(VALUE(REGEXEXTRACT(TEXT(INDIRECT(""'Ответы на форму (1)'!E""&amp;$N26,TRUE),""####""),""[0-9]+"")),IF(IFERROR(SEARCH(""моцро"",INDIRECT(""'Ответы на форму (1)'!E""&amp;$N26,TRUE)),-1) &gt;= 0,117,INDIRECT(""'Ответы на форму (1)'!E""&amp;$N26,TRUE)))"),7)</f>
        <v>7</v>
      </c>
      <c r="F26" s="0" t="e">
        <f aca="true">INDIRECT("'Ответы на форму (1)'!F"&amp;$N26,TRUE())</f>
        <v>#REF!</v>
      </c>
      <c r="G26" s="9" t="e">
        <f aca="true">IFERROR(MID(INDIRECT("'Ответы на форму (1)'!G"&amp;$N26,TRUE()),SEARCH("vk.com",INDIRECT("'Ответы на форму (1)'!G"&amp;$N26,TRUE())),LEN(INDIRECT("'Ответы на форму (1)'!G"&amp;$N26,TRUE()))),INDIRECT("'Ответы на форму (1)'!G"&amp;$N26,TRUE()))</f>
        <v>#REF!</v>
      </c>
      <c r="H26" s="0" t="e">
        <f aca="true">INDIRECT("'Ответы на форму (1)'!H"&amp;$N26,TRUE())</f>
        <v>#REF!</v>
      </c>
      <c r="I26" s="12" t="e">
        <f aca="true">INDIRECT("'Ответы на форму (1)'!I"&amp;$N26,TRUE())</f>
        <v>#REF!</v>
      </c>
      <c r="J26" s="12" t="e">
        <f aca="true">INDIRECT("'Ответы на форму (1)'!J"&amp;$N26,TRUE())</f>
        <v>#REF!</v>
      </c>
      <c r="K26" s="12" t="e">
        <f aca="true">INDIRECT("'Ответы на форму (1)'!K"&amp;$N26,TRUE())</f>
        <v>#REF!</v>
      </c>
      <c r="L26" s="12" t="e">
        <f aca="true">INDIRECT("'Ответы на форму (1)'!L"&amp;$N26,TRUE())</f>
        <v>#REF!</v>
      </c>
      <c r="M26" s="0" t="e">
        <f aca="false" t="array" ref="M26:M26">IF(B26 &lt;&gt; "",IF(COUNTIF(concat(TRIM('Список прошлого года'!$B$2:$B$200),TRIM('Список прошлого года'!$C$2:$C$200)),concat(TRIM(B26),TRIM(C26))) &gt; 0,"Да","Нет"),"")</f>
        <v>#REF!</v>
      </c>
      <c r="N26" s="1" t="n">
        <v>29</v>
      </c>
      <c r="O26" s="1" t="n">
        <v>2</v>
      </c>
      <c r="Q26" s="1" t="n">
        <f aca="false">TRUE()</f>
        <v>1</v>
      </c>
      <c r="R26" s="1" t="n">
        <f aca="false">TRUE()</f>
        <v>1</v>
      </c>
      <c r="S26" s="1" t="n">
        <f aca="false">TRUE()</f>
        <v>1</v>
      </c>
      <c r="T26" s="1" t="n">
        <f aca="false">TRUE()</f>
        <v>1</v>
      </c>
      <c r="U26" s="1" t="n">
        <f aca="false">TRUE()</f>
        <v>1</v>
      </c>
      <c r="V26" s="1" t="n">
        <f aca="false">TRUE()</f>
        <v>1</v>
      </c>
      <c r="W26" s="1" t="n">
        <f aca="false">TRUE()</f>
        <v>1</v>
      </c>
      <c r="X26" s="1" t="n">
        <f aca="false">TRUE()</f>
        <v>1</v>
      </c>
      <c r="Y26" s="1" t="n">
        <f aca="false">TRUE()</f>
        <v>1</v>
      </c>
      <c r="Z26" s="1" t="n">
        <f aca="false">TRUE()</f>
        <v>1</v>
      </c>
      <c r="AA26" s="1" t="n">
        <f aca="false">TRUE()</f>
        <v>1</v>
      </c>
      <c r="AB26" s="1" t="n">
        <f aca="false">TRUE()</f>
        <v>1</v>
      </c>
      <c r="AC26" s="1" t="n">
        <f aca="false">TRUE()</f>
        <v>1</v>
      </c>
      <c r="AD26" s="1" t="n">
        <f aca="false">TRUE()</f>
        <v>1</v>
      </c>
      <c r="AE26" s="1" t="n">
        <f aca="false">TRUE()</f>
        <v>1</v>
      </c>
      <c r="AF26" s="1" t="n">
        <f aca="false">TRUE()</f>
        <v>1</v>
      </c>
      <c r="AG26" s="1" t="n">
        <f aca="false">TRUE()</f>
        <v>1</v>
      </c>
      <c r="AH26" s="1" t="n">
        <f aca="false">TRUE()</f>
        <v>1</v>
      </c>
      <c r="AI26" s="1" t="n">
        <f aca="false">TRUE()</f>
        <v>1</v>
      </c>
      <c r="AJ26" s="1" t="n">
        <f aca="false">TRUE()</f>
        <v>1</v>
      </c>
      <c r="AK26" s="1" t="n">
        <f aca="false" t="array" ref="AK26:AK26">SUM(IF(Q26:U26,1,0))</f>
        <v>5</v>
      </c>
      <c r="AL26" s="14" t="n">
        <f aca="false" t="array" ref="AL26:AL26">SUM(IF(V26:Z26,1,0))</f>
        <v>5</v>
      </c>
      <c r="AM26" s="14" t="n">
        <f aca="false" t="array" ref="AM26:AM26">SUM(IF(AA26:AE26,1,0))</f>
        <v>5</v>
      </c>
      <c r="AN26" s="14" t="n">
        <f aca="false" t="array" ref="AN26:AN26">SUM(IF(AF26:AJ26,1,0))</f>
        <v>5</v>
      </c>
      <c r="AO26" s="1" t="n">
        <f aca="false">FALSE()</f>
        <v>0</v>
      </c>
      <c r="AP26" s="1" t="n">
        <f aca="false">IF(O26 = 2,COUNTIF(Q26:AJ26,"TRUE"),-1)</f>
        <v>20</v>
      </c>
    </row>
    <row r="27" customFormat="false" ht="15.75" hidden="false" customHeight="false" outlineLevel="0" collapsed="false">
      <c r="A27" s="8" t="e">
        <f aca="true">INDIRECT("'Ответы на форму (1)'!A"&amp;$N27,TRUE())</f>
        <v>#REF!</v>
      </c>
      <c r="B27" s="0" t="e">
        <f aca="true">INDIRECT("'Ответы на форму (1)'!B"&amp;$N27,TRUE())</f>
        <v>#REF!</v>
      </c>
      <c r="C27" s="0" t="e">
        <f aca="true">INDIRECT("'Ответы на форму (1)'!C"&amp;$N27,TRUE())</f>
        <v>#REF!</v>
      </c>
      <c r="D27" s="0" t="e">
        <f aca="true">INDIRECT("'Ответы на форму (1)'!D"&amp;$N27,TRUE())</f>
        <v>#REF!</v>
      </c>
      <c r="E27" s="0" t="n">
        <f aca="false">IFERROR(__xludf.dummyfunction("iferror(VALUE(REGEXEXTRACT(TEXT(INDIRECT(""'Ответы на форму (1)'!E""&amp;$N27,TRUE),""####""),""[0-9]+"")),IF(IFERROR(SEARCH(""моцро"",INDIRECT(""'Ответы на форму (1)'!E""&amp;$N27,TRUE)),-1) &gt;= 0,117,INDIRECT(""'Ответы на форму (1)'!E""&amp;$N27,TRUE)))"),139)</f>
        <v>139</v>
      </c>
      <c r="F27" s="0" t="e">
        <f aca="true">INDIRECT("'Ответы на форму (1)'!F"&amp;$N27,TRUE())</f>
        <v>#REF!</v>
      </c>
      <c r="G27" s="9" t="e">
        <f aca="true">IFERROR(MID(INDIRECT("'Ответы на форму (1)'!G"&amp;$N27,TRUE()),SEARCH("vk.com",INDIRECT("'Ответы на форму (1)'!G"&amp;$N27,TRUE())),LEN(INDIRECT("'Ответы на форму (1)'!G"&amp;$N27,TRUE()))),INDIRECT("'Ответы на форму (1)'!G"&amp;$N27,TRUE()))</f>
        <v>#REF!</v>
      </c>
      <c r="H27" s="0" t="e">
        <f aca="true">INDIRECT("'Ответы на форму (1)'!H"&amp;$N27,TRUE())</f>
        <v>#REF!</v>
      </c>
      <c r="I27" s="12" t="e">
        <f aca="true">INDIRECT("'Ответы на форму (1)'!I"&amp;$N27,TRUE())</f>
        <v>#REF!</v>
      </c>
      <c r="J27" s="12" t="e">
        <f aca="true">INDIRECT("'Ответы на форму (1)'!J"&amp;$N27,TRUE())</f>
        <v>#REF!</v>
      </c>
      <c r="K27" s="12" t="e">
        <f aca="true">INDIRECT("'Ответы на форму (1)'!K"&amp;$N27,TRUE())</f>
        <v>#REF!</v>
      </c>
      <c r="L27" s="12" t="e">
        <f aca="true">INDIRECT("'Ответы на форму (1)'!L"&amp;$N27,TRUE())</f>
        <v>#REF!</v>
      </c>
      <c r="M27" s="0" t="e">
        <f aca="false" t="array" ref="M27:M27">IF(B27 &lt;&gt; "",IF(COUNTIF(concat(TRIM('Список прошлого года'!$B$2:$B$200),TRIM('Список прошлого года'!$C$2:$C$200)),concat(TRIM(B27),TRIM(C27))) &gt; 0,"Да","Нет"),"")</f>
        <v>#REF!</v>
      </c>
      <c r="N27" s="1" t="n">
        <v>30</v>
      </c>
      <c r="O27" s="1" t="n">
        <v>2</v>
      </c>
      <c r="Q27" s="1" t="n">
        <f aca="false">TRUE()</f>
        <v>1</v>
      </c>
      <c r="R27" s="1" t="n">
        <f aca="false">TRUE()</f>
        <v>1</v>
      </c>
      <c r="S27" s="1" t="n">
        <f aca="false">TRUE()</f>
        <v>1</v>
      </c>
      <c r="T27" s="1" t="n">
        <f aca="false">TRUE()</f>
        <v>1</v>
      </c>
      <c r="U27" s="1" t="n">
        <f aca="false">TRUE()</f>
        <v>1</v>
      </c>
      <c r="V27" s="1" t="n">
        <f aca="false">TRUE()</f>
        <v>1</v>
      </c>
      <c r="W27" s="1" t="n">
        <f aca="false">TRUE()</f>
        <v>1</v>
      </c>
      <c r="X27" s="1" t="n">
        <f aca="false">TRUE()</f>
        <v>1</v>
      </c>
      <c r="Y27" s="1" t="n">
        <f aca="false">TRUE()</f>
        <v>1</v>
      </c>
      <c r="Z27" s="1" t="n">
        <f aca="false">TRUE()</f>
        <v>1</v>
      </c>
      <c r="AA27" s="1" t="n">
        <f aca="false">TRUE()</f>
        <v>1</v>
      </c>
      <c r="AB27" s="1" t="n">
        <f aca="false">TRUE()</f>
        <v>1</v>
      </c>
      <c r="AC27" s="1" t="n">
        <f aca="false">TRUE()</f>
        <v>1</v>
      </c>
      <c r="AD27" s="1" t="n">
        <f aca="false">TRUE()</f>
        <v>1</v>
      </c>
      <c r="AE27" s="1" t="n">
        <f aca="false">TRUE()</f>
        <v>1</v>
      </c>
      <c r="AF27" s="1" t="n">
        <f aca="false">TRUE()</f>
        <v>1</v>
      </c>
      <c r="AG27" s="1" t="n">
        <f aca="false">TRUE()</f>
        <v>1</v>
      </c>
      <c r="AH27" s="1" t="n">
        <f aca="false">TRUE()</f>
        <v>1</v>
      </c>
      <c r="AI27" s="1" t="n">
        <f aca="false">FALSE()</f>
        <v>0</v>
      </c>
      <c r="AJ27" s="1" t="n">
        <f aca="false">TRUE()</f>
        <v>1</v>
      </c>
      <c r="AK27" s="1" t="n">
        <f aca="false" t="array" ref="AK27:AK27">SUM(IF(Q27:U27,1,0))</f>
        <v>5</v>
      </c>
      <c r="AL27" s="14" t="n">
        <f aca="false" t="array" ref="AL27:AL27">SUM(IF(V27:Z27,1,0))</f>
        <v>5</v>
      </c>
      <c r="AM27" s="14" t="n">
        <f aca="false" t="array" ref="AM27:AM27">SUM(IF(AA27:AE27,1,0))</f>
        <v>5</v>
      </c>
      <c r="AN27" s="14" t="n">
        <f aca="false" t="array" ref="AN27:AN27">SUM(IF(AF27:AJ27,1,0))</f>
        <v>4</v>
      </c>
      <c r="AO27" s="1" t="n">
        <f aca="false">FALSE()</f>
        <v>0</v>
      </c>
      <c r="AP27" s="1" t="n">
        <f aca="false">IF(O27 = 2,COUNTIF(Q27:AJ27,"TRUE"),-1)</f>
        <v>19</v>
      </c>
    </row>
    <row r="28" customFormat="false" ht="15.75" hidden="false" customHeight="false" outlineLevel="0" collapsed="false">
      <c r="A28" s="8" t="e">
        <f aca="true">INDIRECT("'Ответы на форму (1)'!A"&amp;$N28,TRUE())</f>
        <v>#REF!</v>
      </c>
      <c r="B28" s="0" t="e">
        <f aca="true">INDIRECT("'Ответы на форму (1)'!B"&amp;$N28,TRUE())</f>
        <v>#REF!</v>
      </c>
      <c r="C28" s="0" t="e">
        <f aca="true">INDIRECT("'Ответы на форму (1)'!C"&amp;$N28,TRUE())</f>
        <v>#REF!</v>
      </c>
      <c r="D28" s="0" t="e">
        <f aca="true">INDIRECT("'Ответы на форму (1)'!D"&amp;$N28,TRUE())</f>
        <v>#REF!</v>
      </c>
      <c r="E28" s="0" t="n">
        <f aca="false">IFERROR(__xludf.dummyfunction("iferror(VALUE(REGEXEXTRACT(TEXT(INDIRECT(""'Ответы на форму (1)'!E""&amp;$N28,TRUE),""####""),""[0-9]+"")),IF(IFERROR(SEARCH(""моцро"",INDIRECT(""'Ответы на форму (1)'!E""&amp;$N28,TRUE)),-1) &gt;= 0,117,INDIRECT(""'Ответы на форму (1)'!E""&amp;$N28,TRUE)))"),26)</f>
        <v>26</v>
      </c>
      <c r="F28" s="0" t="e">
        <f aca="true">INDIRECT("'Ответы на форму (1)'!F"&amp;$N28,TRUE())</f>
        <v>#REF!</v>
      </c>
      <c r="G28" s="9" t="e">
        <f aca="true">IFERROR(MID(INDIRECT("'Ответы на форму (1)'!G"&amp;$N28,TRUE()),SEARCH("vk.com",INDIRECT("'Ответы на форму (1)'!G"&amp;$N28,TRUE())),LEN(INDIRECT("'Ответы на форму (1)'!G"&amp;$N28,TRUE()))),INDIRECT("'Ответы на форму (1)'!G"&amp;$N28,TRUE()))</f>
        <v>#REF!</v>
      </c>
      <c r="H28" s="0" t="e">
        <f aca="true">INDIRECT("'Ответы на форму (1)'!H"&amp;$N28,TRUE())</f>
        <v>#REF!</v>
      </c>
      <c r="I28" s="12" t="e">
        <f aca="true">INDIRECT("'Ответы на форму (1)'!I"&amp;$N28,TRUE())</f>
        <v>#REF!</v>
      </c>
      <c r="J28" s="12" t="e">
        <f aca="true">INDIRECT("'Ответы на форму (1)'!J"&amp;$N28,TRUE())</f>
        <v>#REF!</v>
      </c>
      <c r="K28" s="12" t="e">
        <f aca="true">INDIRECT("'Ответы на форму (1)'!K"&amp;$N28,TRUE())</f>
        <v>#REF!</v>
      </c>
      <c r="L28" s="12" t="e">
        <f aca="true">INDIRECT("'Ответы на форму (1)'!L"&amp;$N28,TRUE())</f>
        <v>#REF!</v>
      </c>
      <c r="M28" s="0" t="e">
        <f aca="false" t="array" ref="M28:M28">IF(B28 &lt;&gt; "",IF(COUNTIF(concat(TRIM('Список прошлого года'!$B$2:$B$200),TRIM('Список прошлого года'!$C$2:$C$200)),concat(TRIM(B28),TRIM(C28))) &gt; 0,"Да","Нет"),"")</f>
        <v>#REF!</v>
      </c>
      <c r="N28" s="1" t="n">
        <v>31</v>
      </c>
      <c r="O28" s="1" t="n">
        <v>2</v>
      </c>
      <c r="Q28" s="1" t="n">
        <f aca="false">TRUE()</f>
        <v>1</v>
      </c>
      <c r="R28" s="1" t="n">
        <f aca="false">TRUE()</f>
        <v>1</v>
      </c>
      <c r="S28" s="1" t="n">
        <f aca="false">TRUE()</f>
        <v>1</v>
      </c>
      <c r="T28" s="1" t="n">
        <f aca="false">TRUE()</f>
        <v>1</v>
      </c>
      <c r="U28" s="1" t="n">
        <f aca="false">FALSE()</f>
        <v>0</v>
      </c>
      <c r="V28" s="1" t="n">
        <f aca="false">TRUE()</f>
        <v>1</v>
      </c>
      <c r="W28" s="1" t="n">
        <f aca="false">TRUE()</f>
        <v>1</v>
      </c>
      <c r="X28" s="1" t="n">
        <f aca="false">TRUE()</f>
        <v>1</v>
      </c>
      <c r="Y28" s="1" t="n">
        <f aca="false">TRUE()</f>
        <v>1</v>
      </c>
      <c r="Z28" s="1" t="n">
        <f aca="false">FALSE()</f>
        <v>0</v>
      </c>
      <c r="AA28" s="1" t="n">
        <f aca="false">FALSE()</f>
        <v>0</v>
      </c>
      <c r="AB28" s="1" t="n">
        <f aca="false">FALSE()</f>
        <v>0</v>
      </c>
      <c r="AC28" s="1" t="n">
        <f aca="false">FALSE()</f>
        <v>0</v>
      </c>
      <c r="AD28" s="1" t="n">
        <f aca="false">FALSE()</f>
        <v>0</v>
      </c>
      <c r="AE28" s="1" t="n">
        <f aca="false">FALSE()</f>
        <v>0</v>
      </c>
      <c r="AF28" s="1" t="n">
        <f aca="false">FALSE()</f>
        <v>0</v>
      </c>
      <c r="AG28" s="1" t="n">
        <f aca="false">FALSE()</f>
        <v>0</v>
      </c>
      <c r="AH28" s="1" t="n">
        <f aca="false">FALSE()</f>
        <v>0</v>
      </c>
      <c r="AI28" s="1" t="n">
        <f aca="false">FALSE()</f>
        <v>0</v>
      </c>
      <c r="AJ28" s="1" t="n">
        <f aca="false">FALSE()</f>
        <v>0</v>
      </c>
      <c r="AK28" s="1" t="n">
        <f aca="false" t="array" ref="AK28:AK28">SUM(IF(Q28:U28,1,0))</f>
        <v>4</v>
      </c>
      <c r="AL28" s="14" t="n">
        <f aca="false" t="array" ref="AL28:AL28">SUM(IF(V28:Z28,1,0))</f>
        <v>4</v>
      </c>
      <c r="AM28" s="14" t="n">
        <f aca="false" t="array" ref="AM28:AM28">SUM(IF(AA28:AE28,1,0))</f>
        <v>0</v>
      </c>
      <c r="AN28" s="14" t="n">
        <f aca="false" t="array" ref="AN28:AN28">SUM(IF(AF28:AJ28,1,0))</f>
        <v>0</v>
      </c>
      <c r="AO28" s="1" t="n">
        <f aca="false">FALSE()</f>
        <v>0</v>
      </c>
      <c r="AP28" s="1" t="n">
        <f aca="false">IF(O28 = 2,COUNTIF(Q28:AJ28,"TRUE"),-1)</f>
        <v>8</v>
      </c>
    </row>
    <row r="29" customFormat="false" ht="15.75" hidden="false" customHeight="false" outlineLevel="0" collapsed="false">
      <c r="A29" s="15" t="e">
        <f aca="true">INDIRECT("'Ответы на форму (1)'!A"&amp;$N29,TRUE())</f>
        <v>#REF!</v>
      </c>
      <c r="B29" s="16" t="e">
        <f aca="true">INDIRECT("'Ответы на форму (1)'!B"&amp;$N29,TRUE())</f>
        <v>#REF!</v>
      </c>
      <c r="C29" s="16" t="e">
        <f aca="true">INDIRECT("'Ответы на форму (1)'!C"&amp;$N29,TRUE())</f>
        <v>#REF!</v>
      </c>
      <c r="D29" s="16" t="e">
        <f aca="true">INDIRECT("'Ответы на форму (1)'!D"&amp;$N29,TRUE())</f>
        <v>#REF!</v>
      </c>
      <c r="E29" s="16" t="n">
        <f aca="false">IFERROR(__xludf.dummyfunction("iferror(VALUE(REGEXEXTRACT(TEXT(INDIRECT(""'Ответы на форму (1)'!E""&amp;$N29,TRUE),""####""),""[0-9]+"")),IF(IFERROR(SEARCH(""моцро"",INDIRECT(""'Ответы на форму (1)'!E""&amp;$N29,TRUE)),-1) &gt;= 0,117,INDIRECT(""'Ответы на форму (1)'!E""&amp;$N29,TRUE)))"),117)</f>
        <v>117</v>
      </c>
      <c r="F29" s="16" t="e">
        <f aca="true">INDIRECT("'Ответы на форму (1)'!F"&amp;$N29,TRUE())</f>
        <v>#REF!</v>
      </c>
      <c r="G29" s="17" t="e">
        <f aca="true">IFERROR(MID(INDIRECT("'Ответы на форму (1)'!G"&amp;$N29,TRUE()),SEARCH("vk.com",INDIRECT("'Ответы на форму (1)'!G"&amp;$N29,TRUE())),LEN(INDIRECT("'Ответы на форму (1)'!G"&amp;$N29,TRUE()))),INDIRECT("'Ответы на форму (1)'!G"&amp;$N29,TRUE()))</f>
        <v>#REF!</v>
      </c>
      <c r="H29" s="16" t="e">
        <f aca="true">INDIRECT("'Ответы на форму (1)'!H"&amp;$N29,TRUE())</f>
        <v>#REF!</v>
      </c>
      <c r="I29" s="16" t="e">
        <f aca="true">INDIRECT("'Ответы на форму (1)'!I"&amp;$N29,TRUE())</f>
        <v>#REF!</v>
      </c>
      <c r="J29" s="16" t="e">
        <f aca="true">INDIRECT("'Ответы на форму (1)'!J"&amp;$N29,TRUE())</f>
        <v>#REF!</v>
      </c>
      <c r="K29" s="16" t="e">
        <f aca="true">INDIRECT("'Ответы на форму (1)'!K"&amp;$N29,TRUE())</f>
        <v>#REF!</v>
      </c>
      <c r="L29" s="16" t="e">
        <f aca="true">INDIRECT("'Ответы на форму (1)'!L"&amp;$N29,TRUE())</f>
        <v>#REF!</v>
      </c>
      <c r="M29" s="16" t="e">
        <f aca="false" t="array" ref="M29:M29">IF(B29 &lt;&gt; "",IF(COUNTIF(concat(TRIM('Список прошлого года'!$B$2:$B$200),TRIM('Список прошлого года'!$C$2:$C$200)),concat(TRIM(B29),TRIM(C29))) &gt; 0,"Да","Нет"),"")</f>
        <v>#REF!</v>
      </c>
      <c r="N29" s="19" t="n">
        <v>33</v>
      </c>
      <c r="O29" s="19" t="n">
        <v>2</v>
      </c>
      <c r="P29" s="16"/>
      <c r="Q29" s="19" t="n">
        <f aca="false">TRUE()</f>
        <v>1</v>
      </c>
      <c r="R29" s="19" t="n">
        <f aca="false">TRUE()</f>
        <v>1</v>
      </c>
      <c r="S29" s="19" t="n">
        <f aca="false">TRUE()</f>
        <v>1</v>
      </c>
      <c r="T29" s="19" t="n">
        <f aca="false">TRUE()</f>
        <v>1</v>
      </c>
      <c r="U29" s="19" t="n">
        <f aca="false">FALSE()</f>
        <v>0</v>
      </c>
      <c r="V29" s="19" t="n">
        <f aca="false">TRUE()</f>
        <v>1</v>
      </c>
      <c r="W29" s="19" t="n">
        <f aca="false">TRUE()</f>
        <v>1</v>
      </c>
      <c r="X29" s="19" t="n">
        <f aca="false">TRUE()</f>
        <v>1</v>
      </c>
      <c r="Y29" s="19" t="n">
        <f aca="false">TRUE()</f>
        <v>1</v>
      </c>
      <c r="Z29" s="19" t="n">
        <f aca="false">FALSE()</f>
        <v>0</v>
      </c>
      <c r="AA29" s="19" t="n">
        <f aca="false">TRUE()</f>
        <v>1</v>
      </c>
      <c r="AB29" s="19" t="n">
        <f aca="false">TRUE()</f>
        <v>1</v>
      </c>
      <c r="AC29" s="19" t="n">
        <f aca="false">TRUE()</f>
        <v>1</v>
      </c>
      <c r="AD29" s="19" t="n">
        <f aca="false">TRUE()</f>
        <v>1</v>
      </c>
      <c r="AE29" s="19" t="n">
        <f aca="false">TRUE()</f>
        <v>1</v>
      </c>
      <c r="AF29" s="19" t="n">
        <f aca="false">TRUE()</f>
        <v>1</v>
      </c>
      <c r="AG29" s="19" t="n">
        <f aca="false">TRUE()</f>
        <v>1</v>
      </c>
      <c r="AH29" s="19" t="n">
        <f aca="false">TRUE()</f>
        <v>1</v>
      </c>
      <c r="AI29" s="19" t="n">
        <f aca="false">TRUE()</f>
        <v>1</v>
      </c>
      <c r="AJ29" s="19" t="n">
        <f aca="false">TRUE()</f>
        <v>1</v>
      </c>
      <c r="AK29" s="19" t="n">
        <f aca="false" t="array" ref="AK29:AK29">SUM(IF(Q29:U29,1,0))</f>
        <v>4</v>
      </c>
      <c r="AL29" s="20" t="n">
        <f aca="false" t="array" ref="AL29:AL29">SUM(IF(V29:Z29,1,0))</f>
        <v>4</v>
      </c>
      <c r="AM29" s="20" t="n">
        <f aca="false" t="array" ref="AM29:AM29">SUM(IF(AA29:AE29,1,0))</f>
        <v>5</v>
      </c>
      <c r="AN29" s="20" t="n">
        <f aca="false" t="array" ref="AN29:AN29">SUM(IF(AF29:AJ29,1,0))</f>
        <v>5</v>
      </c>
      <c r="AO29" s="19" t="n">
        <f aca="false">TRUE()</f>
        <v>1</v>
      </c>
      <c r="AP29" s="1" t="n">
        <f aca="false">IF(O29 = 2,COUNTIF(Q29:AJ29,"TRUE"),-1)</f>
        <v>18</v>
      </c>
    </row>
    <row r="30" customFormat="false" ht="15.75" hidden="false" customHeight="false" outlineLevel="0" collapsed="false">
      <c r="A30" s="8" t="e">
        <f aca="true">INDIRECT("'Ответы на форму (1)'!A"&amp;$N30,TRUE())</f>
        <v>#REF!</v>
      </c>
      <c r="B30" s="0" t="e">
        <f aca="true">INDIRECT("'Ответы на форму (1)'!B"&amp;$N30,TRUE())</f>
        <v>#REF!</v>
      </c>
      <c r="C30" s="0" t="e">
        <f aca="true">INDIRECT("'Ответы на форму (1)'!C"&amp;$N30,TRUE())</f>
        <v>#REF!</v>
      </c>
      <c r="D30" s="0" t="e">
        <f aca="true">INDIRECT("'Ответы на форму (1)'!D"&amp;$N30,TRUE())</f>
        <v>#REF!</v>
      </c>
      <c r="E30" s="0" t="n">
        <f aca="false">IFERROR(__xludf.dummyfunction("iferror(VALUE(REGEXEXTRACT(TEXT(INDIRECT(""'Ответы на форму (1)'!E""&amp;$N30,TRUE),""####""),""[0-9]+"")),IF(IFERROR(SEARCH(""моцро"",INDIRECT(""'Ответы на форму (1)'!E""&amp;$N30,TRUE)),-1) &gt;= 0,117,INDIRECT(""'Ответы на форму (1)'!E""&amp;$N30,TRUE)))"),117)</f>
        <v>117</v>
      </c>
      <c r="F30" s="0" t="e">
        <f aca="true">INDIRECT("'Ответы на форму (1)'!F"&amp;$N30,TRUE())</f>
        <v>#REF!</v>
      </c>
      <c r="G30" s="9" t="e">
        <f aca="true">IFERROR(MID(INDIRECT("'Ответы на форму (1)'!G"&amp;$N30,TRUE()),SEARCH("vk.com",INDIRECT("'Ответы на форму (1)'!G"&amp;$N30,TRUE())),LEN(INDIRECT("'Ответы на форму (1)'!G"&amp;$N30,TRUE()))),INDIRECT("'Ответы на форму (1)'!G"&amp;$N30,TRUE()))</f>
        <v>#REF!</v>
      </c>
      <c r="H30" s="0" t="e">
        <f aca="true">INDIRECT("'Ответы на форму (1)'!H"&amp;$N30,TRUE())</f>
        <v>#REF!</v>
      </c>
      <c r="I30" s="12" t="e">
        <f aca="true">INDIRECT("'Ответы на форму (1)'!I"&amp;$N30,TRUE())</f>
        <v>#REF!</v>
      </c>
      <c r="J30" s="12" t="e">
        <f aca="true">INDIRECT("'Ответы на форму (1)'!J"&amp;$N30,TRUE())</f>
        <v>#REF!</v>
      </c>
      <c r="K30" s="12" t="e">
        <f aca="true">INDIRECT("'Ответы на форму (1)'!K"&amp;$N30,TRUE())</f>
        <v>#REF!</v>
      </c>
      <c r="L30" s="12" t="e">
        <f aca="true">INDIRECT("'Ответы на форму (1)'!L"&amp;$N30,TRUE())</f>
        <v>#REF!</v>
      </c>
      <c r="M30" s="0" t="e">
        <f aca="false" t="array" ref="M30:M30">IF(B30 &lt;&gt; "",IF(COUNTIF(concat(TRIM('Список прошлого года'!$B$2:$B$200),TRIM('Список прошлого года'!$C$2:$C$200)),concat(TRIM(B30),TRIM(C30))) &gt; 0,"Да","Нет"),"")</f>
        <v>#REF!</v>
      </c>
      <c r="N30" s="1" t="n">
        <v>34</v>
      </c>
      <c r="O30" s="1" t="n">
        <v>2</v>
      </c>
      <c r="Q30" s="1" t="n">
        <f aca="false">TRUE()</f>
        <v>1</v>
      </c>
      <c r="R30" s="1" t="n">
        <f aca="false">TRUE()</f>
        <v>1</v>
      </c>
      <c r="S30" s="1" t="n">
        <f aca="false">TRUE()</f>
        <v>1</v>
      </c>
      <c r="T30" s="1" t="n">
        <f aca="false">TRUE()</f>
        <v>1</v>
      </c>
      <c r="U30" s="1" t="n">
        <f aca="false">TRUE()</f>
        <v>1</v>
      </c>
      <c r="V30" s="1" t="n">
        <f aca="false">TRUE()</f>
        <v>1</v>
      </c>
      <c r="W30" s="1" t="n">
        <f aca="false">TRUE()</f>
        <v>1</v>
      </c>
      <c r="X30" s="1" t="n">
        <f aca="false">TRUE()</f>
        <v>1</v>
      </c>
      <c r="Y30" s="1" t="n">
        <f aca="false">TRUE()</f>
        <v>1</v>
      </c>
      <c r="Z30" s="1" t="n">
        <f aca="false">TRUE()</f>
        <v>1</v>
      </c>
      <c r="AA30" s="1" t="n">
        <f aca="false">TRUE()</f>
        <v>1</v>
      </c>
      <c r="AB30" s="1" t="n">
        <f aca="false">TRUE()</f>
        <v>1</v>
      </c>
      <c r="AC30" s="1" t="n">
        <f aca="false">TRUE()</f>
        <v>1</v>
      </c>
      <c r="AD30" s="1" t="n">
        <f aca="false">TRUE()</f>
        <v>1</v>
      </c>
      <c r="AE30" s="1" t="n">
        <f aca="false">FALSE()</f>
        <v>0</v>
      </c>
      <c r="AF30" s="1" t="n">
        <f aca="false">TRUE()</f>
        <v>1</v>
      </c>
      <c r="AG30" s="1" t="n">
        <f aca="false">TRUE()</f>
        <v>1</v>
      </c>
      <c r="AH30" s="1" t="n">
        <f aca="false">FALSE()</f>
        <v>0</v>
      </c>
      <c r="AI30" s="1" t="n">
        <f aca="false">FALSE()</f>
        <v>0</v>
      </c>
      <c r="AJ30" s="1" t="n">
        <f aca="false">FALSE()</f>
        <v>0</v>
      </c>
      <c r="AK30" s="1" t="n">
        <f aca="false" t="array" ref="AK30:AK30">SUM(IF(Q30:U30,1,0))</f>
        <v>5</v>
      </c>
      <c r="AL30" s="14" t="n">
        <f aca="false" t="array" ref="AL30:AL30">SUM(IF(V30:Z30,1,0))</f>
        <v>5</v>
      </c>
      <c r="AM30" s="14" t="n">
        <f aca="false" t="array" ref="AM30:AM30">SUM(IF(AA30:AE30,1,0))</f>
        <v>4</v>
      </c>
      <c r="AN30" s="14" t="n">
        <f aca="false" t="array" ref="AN30:AN30">SUM(IF(AF30:AJ30,1,0))</f>
        <v>2</v>
      </c>
      <c r="AO30" s="1" t="n">
        <f aca="false">FALSE()</f>
        <v>0</v>
      </c>
      <c r="AP30" s="1" t="n">
        <f aca="false">IF(O30 = 2,COUNTIF(Q30:AJ30,"TRUE"),-1)</f>
        <v>16</v>
      </c>
    </row>
    <row r="31" customFormat="false" ht="15.75" hidden="false" customHeight="false" outlineLevel="0" collapsed="false">
      <c r="A31" s="8" t="e">
        <f aca="true">INDIRECT("'Ответы на форму (1)'!A"&amp;$N31,TRUE())</f>
        <v>#REF!</v>
      </c>
      <c r="B31" s="0" t="e">
        <f aca="true">INDIRECT("'Ответы на форму (1)'!B"&amp;$N31,TRUE())</f>
        <v>#REF!</v>
      </c>
      <c r="C31" s="0" t="e">
        <f aca="true">INDIRECT("'Ответы на форму (1)'!C"&amp;$N31,TRUE())</f>
        <v>#REF!</v>
      </c>
      <c r="D31" s="0" t="e">
        <f aca="true">INDIRECT("'Ответы на форму (1)'!D"&amp;$N31,TRUE())</f>
        <v>#REF!</v>
      </c>
      <c r="E31" s="0" t="n">
        <f aca="false">IFERROR(__xludf.dummyfunction("iferror(VALUE(REGEXEXTRACT(TEXT(INDIRECT(""'Ответы на форму (1)'!E""&amp;$N31,TRUE),""####""),""[0-9]+"")),IF(IFERROR(SEARCH(""моцро"",INDIRECT(""'Ответы на форму (1)'!E""&amp;$N31,TRUE)),-1) &gt;= 0,117,INDIRECT(""'Ответы на форму (1)'!E""&amp;$N31,TRUE)))"),117)</f>
        <v>117</v>
      </c>
      <c r="F31" s="0" t="e">
        <f aca="true">INDIRECT("'Ответы на форму (1)'!F"&amp;$N31,TRUE())</f>
        <v>#REF!</v>
      </c>
      <c r="G31" s="9" t="e">
        <f aca="true">IFERROR(MID(INDIRECT("'Ответы на форму (1)'!G"&amp;$N31,TRUE()),SEARCH("vk.com",INDIRECT("'Ответы на форму (1)'!G"&amp;$N31,TRUE())),LEN(INDIRECT("'Ответы на форму (1)'!G"&amp;$N31,TRUE()))),INDIRECT("'Ответы на форму (1)'!G"&amp;$N31,TRUE()))</f>
        <v>#REF!</v>
      </c>
      <c r="H31" s="0" t="e">
        <f aca="true">INDIRECT("'Ответы на форму (1)'!H"&amp;$N31,TRUE())</f>
        <v>#REF!</v>
      </c>
      <c r="I31" s="12" t="e">
        <f aca="true">INDIRECT("'Ответы на форму (1)'!I"&amp;$N31,TRUE())</f>
        <v>#REF!</v>
      </c>
      <c r="J31" s="12" t="e">
        <f aca="true">INDIRECT("'Ответы на форму (1)'!J"&amp;$N31,TRUE())</f>
        <v>#REF!</v>
      </c>
      <c r="K31" s="12" t="e">
        <f aca="true">INDIRECT("'Ответы на форму (1)'!K"&amp;$N31,TRUE())</f>
        <v>#REF!</v>
      </c>
      <c r="L31" s="12" t="e">
        <f aca="true">INDIRECT("'Ответы на форму (1)'!L"&amp;$N31,TRUE())</f>
        <v>#REF!</v>
      </c>
      <c r="M31" s="0" t="e">
        <f aca="false" t="array" ref="M31:M31">IF(B31 &lt;&gt; "",IF(COUNTIF(concat(TRIM('Список прошлого года'!$B$2:$B$200),TRIM('Список прошлого года'!$C$2:$C$200)),concat(TRIM(B31),TRIM(C31))) &gt; 0,"Да","Нет"),"")</f>
        <v>#REF!</v>
      </c>
      <c r="N31" s="1" t="n">
        <v>35</v>
      </c>
      <c r="O31" s="13" t="n">
        <v>2</v>
      </c>
      <c r="Q31" s="1" t="n">
        <f aca="false">FALSE()</f>
        <v>0</v>
      </c>
      <c r="R31" s="1" t="n">
        <f aca="false">TRUE()</f>
        <v>1</v>
      </c>
      <c r="S31" s="1" t="n">
        <f aca="false">TRUE()</f>
        <v>1</v>
      </c>
      <c r="T31" s="1" t="n">
        <f aca="false">TRUE()</f>
        <v>1</v>
      </c>
      <c r="U31" s="1" t="n">
        <f aca="false">FALSE()</f>
        <v>0</v>
      </c>
      <c r="V31" s="1" t="n">
        <f aca="false">TRUE()</f>
        <v>1</v>
      </c>
      <c r="W31" s="1" t="n">
        <f aca="false">TRUE()</f>
        <v>1</v>
      </c>
      <c r="X31" s="1" t="n">
        <f aca="false">TRUE()</f>
        <v>1</v>
      </c>
      <c r="Y31" s="1" t="n">
        <f aca="false">TRUE()</f>
        <v>1</v>
      </c>
      <c r="Z31" s="1" t="n">
        <f aca="false">FALSE()</f>
        <v>0</v>
      </c>
      <c r="AA31" s="1" t="n">
        <f aca="false">TRUE()</f>
        <v>1</v>
      </c>
      <c r="AB31" s="1" t="n">
        <f aca="false">TRUE()</f>
        <v>1</v>
      </c>
      <c r="AC31" s="1" t="n">
        <f aca="false">FALSE()</f>
        <v>0</v>
      </c>
      <c r="AD31" s="1" t="n">
        <f aca="false">FALSE()</f>
        <v>0</v>
      </c>
      <c r="AE31" s="1" t="n">
        <f aca="false">FALSE()</f>
        <v>0</v>
      </c>
      <c r="AF31" s="1" t="n">
        <f aca="false">TRUE()</f>
        <v>1</v>
      </c>
      <c r="AG31" s="1" t="n">
        <f aca="false">FALSE()</f>
        <v>0</v>
      </c>
      <c r="AH31" s="1" t="n">
        <f aca="false">FALSE()</f>
        <v>0</v>
      </c>
      <c r="AI31" s="1" t="n">
        <f aca="false">FALSE()</f>
        <v>0</v>
      </c>
      <c r="AJ31" s="1" t="n">
        <f aca="false">FALSE()</f>
        <v>0</v>
      </c>
      <c r="AK31" s="1" t="n">
        <f aca="false" t="array" ref="AK31:AK31">SUM(IF(Q31:U31,1,0))</f>
        <v>3</v>
      </c>
      <c r="AL31" s="14" t="n">
        <f aca="false" t="array" ref="AL31:AL31">SUM(IF(V31:Z31,1,0))</f>
        <v>4</v>
      </c>
      <c r="AM31" s="14" t="n">
        <f aca="false" t="array" ref="AM31:AM31">SUM(IF(AA31:AE31,1,0))</f>
        <v>2</v>
      </c>
      <c r="AN31" s="14" t="n">
        <f aca="false" t="array" ref="AN31:AN31">SUM(IF(AF31:AJ31,1,0))</f>
        <v>1</v>
      </c>
      <c r="AO31" s="1" t="n">
        <f aca="false">FALSE()</f>
        <v>0</v>
      </c>
      <c r="AP31" s="1" t="n">
        <f aca="false">IF(O31 = 2,COUNTIF(Q31:AJ31,"TRUE"),-1)</f>
        <v>10</v>
      </c>
    </row>
    <row r="32" customFormat="false" ht="15.75" hidden="false" customHeight="false" outlineLevel="0" collapsed="false">
      <c r="A32" s="8" t="e">
        <f aca="true">INDIRECT("'Ответы на форму (1)'!A"&amp;$N32,TRUE())</f>
        <v>#REF!</v>
      </c>
      <c r="B32" s="0" t="e">
        <f aca="true">INDIRECT("'Ответы на форму (1)'!B"&amp;$N32,TRUE())</f>
        <v>#REF!</v>
      </c>
      <c r="C32" s="0" t="e">
        <f aca="true">INDIRECT("'Ответы на форму (1)'!C"&amp;$N32,TRUE())</f>
        <v>#REF!</v>
      </c>
      <c r="D32" s="0" t="e">
        <f aca="true">INDIRECT("'Ответы на форму (1)'!D"&amp;$N32,TRUE())</f>
        <v>#REF!</v>
      </c>
      <c r="E32" s="0" t="n">
        <f aca="false">IFERROR(__xludf.dummyfunction("iferror(VALUE(REGEXEXTRACT(TEXT(INDIRECT(""'Ответы на форму (1)'!E""&amp;$N32,TRUE),""####""),""[0-9]+"")),IF(IFERROR(SEARCH(""моцро"",INDIRECT(""'Ответы на форму (1)'!E""&amp;$N32,TRUE)),-1) &gt;= 0,117,INDIRECT(""'Ответы на форму (1)'!E""&amp;$N32,TRUE)))"),117)</f>
        <v>117</v>
      </c>
      <c r="F32" s="0" t="e">
        <f aca="true">INDIRECT("'Ответы на форму (1)'!F"&amp;$N32,TRUE())</f>
        <v>#REF!</v>
      </c>
      <c r="G32" s="9" t="e">
        <f aca="true">IFERROR(MID(INDIRECT("'Ответы на форму (1)'!G"&amp;$N32,TRUE()),SEARCH("vk.com",INDIRECT("'Ответы на форму (1)'!G"&amp;$N32,TRUE())),LEN(INDIRECT("'Ответы на форму (1)'!G"&amp;$N32,TRUE()))),INDIRECT("'Ответы на форму (1)'!G"&amp;$N32,TRUE()))</f>
        <v>#REF!</v>
      </c>
      <c r="H32" s="0" t="e">
        <f aca="true">INDIRECT("'Ответы на форму (1)'!H"&amp;$N32,TRUE())</f>
        <v>#REF!</v>
      </c>
      <c r="I32" s="12" t="e">
        <f aca="true">INDIRECT("'Ответы на форму (1)'!I"&amp;$N32,TRUE())</f>
        <v>#REF!</v>
      </c>
      <c r="J32" s="12" t="e">
        <f aca="true">INDIRECT("'Ответы на форму (1)'!J"&amp;$N32,TRUE())</f>
        <v>#REF!</v>
      </c>
      <c r="K32" s="12" t="e">
        <f aca="true">INDIRECT("'Ответы на форму (1)'!K"&amp;$N32,TRUE())</f>
        <v>#REF!</v>
      </c>
      <c r="L32" s="12" t="e">
        <f aca="true">INDIRECT("'Ответы на форму (1)'!L"&amp;$N32,TRUE())</f>
        <v>#REF!</v>
      </c>
      <c r="M32" s="0" t="e">
        <f aca="false" t="array" ref="M32:M32">IF(B32 &lt;&gt; "",IF(COUNTIF(concat(TRIM('Список прошлого года'!$B$2:$B$200),TRIM('Список прошлого года'!$C$2:$C$200)),concat(TRIM(B32),TRIM(C32))) &gt; 0,"Да","Нет"),"")</f>
        <v>#REF!</v>
      </c>
      <c r="N32" s="1" t="n">
        <v>36</v>
      </c>
      <c r="O32" s="13" t="n">
        <v>2</v>
      </c>
      <c r="Q32" s="1" t="n">
        <f aca="false">FALSE()</f>
        <v>0</v>
      </c>
      <c r="R32" s="1" t="n">
        <f aca="false">FALSE()</f>
        <v>0</v>
      </c>
      <c r="S32" s="1" t="n">
        <f aca="false">FALSE()</f>
        <v>0</v>
      </c>
      <c r="T32" s="1" t="n">
        <f aca="false">FALSE()</f>
        <v>0</v>
      </c>
      <c r="U32" s="1" t="n">
        <f aca="false">FALSE()</f>
        <v>0</v>
      </c>
      <c r="V32" s="1" t="n">
        <f aca="false">FALSE()</f>
        <v>0</v>
      </c>
      <c r="W32" s="1" t="n">
        <f aca="false">FALSE()</f>
        <v>0</v>
      </c>
      <c r="X32" s="1" t="n">
        <f aca="false">FALSE()</f>
        <v>0</v>
      </c>
      <c r="Y32" s="1" t="n">
        <f aca="false">FALSE()</f>
        <v>0</v>
      </c>
      <c r="Z32" s="1" t="n">
        <f aca="false">FALSE()</f>
        <v>0</v>
      </c>
      <c r="AA32" s="1" t="n">
        <f aca="false">FALSE()</f>
        <v>0</v>
      </c>
      <c r="AB32" s="1" t="n">
        <f aca="false">FALSE()</f>
        <v>0</v>
      </c>
      <c r="AC32" s="1" t="n">
        <f aca="false">FALSE()</f>
        <v>0</v>
      </c>
      <c r="AD32" s="1" t="n">
        <f aca="false">FALSE()</f>
        <v>0</v>
      </c>
      <c r="AE32" s="1" t="n">
        <f aca="false">FALSE()</f>
        <v>0</v>
      </c>
      <c r="AF32" s="1" t="n">
        <f aca="false">FALSE()</f>
        <v>0</v>
      </c>
      <c r="AG32" s="1" t="n">
        <f aca="false">FALSE()</f>
        <v>0</v>
      </c>
      <c r="AH32" s="1" t="n">
        <f aca="false">FALSE()</f>
        <v>0</v>
      </c>
      <c r="AI32" s="1" t="n">
        <f aca="false">FALSE()</f>
        <v>0</v>
      </c>
      <c r="AJ32" s="1" t="n">
        <f aca="false">FALSE()</f>
        <v>0</v>
      </c>
      <c r="AK32" s="1" t="n">
        <f aca="false" t="array" ref="AK32:AK32">SUM(IF(Q32:U32,1,0))</f>
        <v>0</v>
      </c>
      <c r="AL32" s="14" t="n">
        <f aca="false" t="array" ref="AL32:AL32">SUM(IF(V32:Z32,1,0))</f>
        <v>0</v>
      </c>
      <c r="AM32" s="14" t="n">
        <f aca="false" t="array" ref="AM32:AM32">SUM(IF(AA32:AE32,1,0))</f>
        <v>0</v>
      </c>
      <c r="AN32" s="14" t="n">
        <f aca="false" t="array" ref="AN32:AN32">SUM(IF(AF32:AJ32,1,0))</f>
        <v>0</v>
      </c>
      <c r="AO32" s="1" t="n">
        <f aca="false">FALSE()</f>
        <v>0</v>
      </c>
      <c r="AP32" s="1" t="n">
        <f aca="false">IF(O32 = 2,COUNTIF(Q32:AJ32,"TRUE"),-1)</f>
        <v>0</v>
      </c>
    </row>
    <row r="33" customFormat="false" ht="15.75" hidden="false" customHeight="false" outlineLevel="0" collapsed="false">
      <c r="A33" s="8" t="e">
        <f aca="true">INDIRECT("'Ответы на форму (1)'!A"&amp;$N33,TRUE())</f>
        <v>#REF!</v>
      </c>
      <c r="B33" s="0" t="e">
        <f aca="true">INDIRECT("'Ответы на форму (1)'!B"&amp;$N33,TRUE())</f>
        <v>#REF!</v>
      </c>
      <c r="C33" s="0" t="e">
        <f aca="true">INDIRECT("'Ответы на форму (1)'!C"&amp;$N33,TRUE())</f>
        <v>#REF!</v>
      </c>
      <c r="D33" s="0" t="e">
        <f aca="true">INDIRECT("'Ответы на форму (1)'!D"&amp;$N33,TRUE())</f>
        <v>#REF!</v>
      </c>
      <c r="E33" s="0" t="n">
        <f aca="false">IFERROR(__xludf.dummyfunction("iferror(VALUE(REGEXEXTRACT(TEXT(INDIRECT(""'Ответы на форму (1)'!E""&amp;$N33,TRUE),""####""),""[0-9]+"")),IF(IFERROR(SEARCH(""моцро"",INDIRECT(""'Ответы на форму (1)'!E""&amp;$N33,TRUE)),-1) &gt;= 0,117,INDIRECT(""'Ответы на форму (1)'!E""&amp;$N33,TRUE)))"),149)</f>
        <v>149</v>
      </c>
      <c r="F33" s="0" t="e">
        <f aca="true">INDIRECT("'Ответы на форму (1)'!F"&amp;$N33,TRUE())</f>
        <v>#REF!</v>
      </c>
      <c r="G33" s="9" t="e">
        <f aca="true">IFERROR(MID(INDIRECT("'Ответы на форму (1)'!G"&amp;$N33,TRUE()),SEARCH("vk.com",INDIRECT("'Ответы на форму (1)'!G"&amp;$N33,TRUE())),LEN(INDIRECT("'Ответы на форму (1)'!G"&amp;$N33,TRUE()))),INDIRECT("'Ответы на форму (1)'!G"&amp;$N33,TRUE()))</f>
        <v>#REF!</v>
      </c>
      <c r="H33" s="0" t="e">
        <f aca="true">INDIRECT("'Ответы на форму (1)'!H"&amp;$N33,TRUE())</f>
        <v>#REF!</v>
      </c>
      <c r="I33" s="12" t="e">
        <f aca="true">INDIRECT("'Ответы на форму (1)'!I"&amp;$N33,TRUE())</f>
        <v>#REF!</v>
      </c>
      <c r="J33" s="12" t="e">
        <f aca="true">INDIRECT("'Ответы на форму (1)'!J"&amp;$N33,TRUE())</f>
        <v>#REF!</v>
      </c>
      <c r="K33" s="12" t="e">
        <f aca="true">INDIRECT("'Ответы на форму (1)'!K"&amp;$N33,TRUE())</f>
        <v>#REF!</v>
      </c>
      <c r="L33" s="12" t="e">
        <f aca="true">INDIRECT("'Ответы на форму (1)'!L"&amp;$N33,TRUE())</f>
        <v>#REF!</v>
      </c>
      <c r="M33" s="0" t="e">
        <f aca="false" t="array" ref="M33:M33">IF(B33 &lt;&gt; "",IF(COUNTIF(concat(TRIM('Список прошлого года'!$B$2:$B$200),TRIM('Список прошлого года'!$C$2:$C$200)),concat(TRIM(B33),TRIM(C33))) &gt; 0,"Да","Нет"),"")</f>
        <v>#REF!</v>
      </c>
      <c r="N33" s="1" t="n">
        <v>37</v>
      </c>
      <c r="O33" s="1" t="n">
        <v>2</v>
      </c>
      <c r="Q33" s="1" t="n">
        <f aca="false">TRUE()</f>
        <v>1</v>
      </c>
      <c r="R33" s="1" t="n">
        <f aca="false">TRUE()</f>
        <v>1</v>
      </c>
      <c r="S33" s="1" t="n">
        <f aca="false">FALSE()</f>
        <v>0</v>
      </c>
      <c r="T33" s="1" t="n">
        <f aca="false">FALSE()</f>
        <v>0</v>
      </c>
      <c r="U33" s="1" t="n">
        <f aca="false">FALSE()</f>
        <v>0</v>
      </c>
      <c r="V33" s="1" t="n">
        <f aca="false">TRUE()</f>
        <v>1</v>
      </c>
      <c r="W33" s="1" t="n">
        <f aca="false">TRUE()</f>
        <v>1</v>
      </c>
      <c r="X33" s="1" t="n">
        <f aca="false">FALSE()</f>
        <v>0</v>
      </c>
      <c r="Y33" s="1" t="n">
        <f aca="false">FALSE()</f>
        <v>0</v>
      </c>
      <c r="Z33" s="1" t="n">
        <f aca="false">FALSE()</f>
        <v>0</v>
      </c>
      <c r="AA33" s="1" t="n">
        <f aca="false">FALSE()</f>
        <v>0</v>
      </c>
      <c r="AB33" s="1" t="n">
        <f aca="false">FALSE()</f>
        <v>0</v>
      </c>
      <c r="AC33" s="1" t="n">
        <f aca="false">FALSE()</f>
        <v>0</v>
      </c>
      <c r="AD33" s="1" t="n">
        <f aca="false">FALSE()</f>
        <v>0</v>
      </c>
      <c r="AE33" s="1" t="n">
        <f aca="false">FALSE()</f>
        <v>0</v>
      </c>
      <c r="AF33" s="1" t="n">
        <f aca="false">FALSE()</f>
        <v>0</v>
      </c>
      <c r="AG33" s="1" t="n">
        <f aca="false">FALSE()</f>
        <v>0</v>
      </c>
      <c r="AH33" s="1" t="n">
        <f aca="false">FALSE()</f>
        <v>0</v>
      </c>
      <c r="AI33" s="1" t="n">
        <f aca="false">FALSE()</f>
        <v>0</v>
      </c>
      <c r="AJ33" s="1" t="n">
        <f aca="false">FALSE()</f>
        <v>0</v>
      </c>
      <c r="AK33" s="1" t="n">
        <f aca="false" t="array" ref="AK33:AK33">SUM(IF(Q33:U33,1,0))</f>
        <v>2</v>
      </c>
      <c r="AL33" s="14" t="n">
        <f aca="false" t="array" ref="AL33:AL33">SUM(IF(V33:Z33,1,0))</f>
        <v>2</v>
      </c>
      <c r="AM33" s="14" t="n">
        <f aca="false" t="array" ref="AM33:AM33">SUM(IF(AA33:AE33,1,0))</f>
        <v>0</v>
      </c>
      <c r="AN33" s="14" t="n">
        <f aca="false" t="array" ref="AN33:AN33">SUM(IF(AF33:AJ33,1,0))</f>
        <v>0</v>
      </c>
      <c r="AO33" s="1" t="n">
        <f aca="false">FALSE()</f>
        <v>0</v>
      </c>
      <c r="AP33" s="1" t="n">
        <f aca="false">IF(O33 = 2,COUNTIF(Q33:AJ33,"TRUE"),-1)</f>
        <v>4</v>
      </c>
    </row>
    <row r="34" customFormat="false" ht="15.75" hidden="false" customHeight="false" outlineLevel="0" collapsed="false">
      <c r="A34" s="8" t="e">
        <f aca="true">INDIRECT("'Ответы на форму (1)'!A"&amp;$N34,TRUE())</f>
        <v>#REF!</v>
      </c>
      <c r="B34" s="0" t="e">
        <f aca="true">INDIRECT("'Ответы на форму (1)'!B"&amp;$N34,TRUE())</f>
        <v>#REF!</v>
      </c>
      <c r="C34" s="0" t="e">
        <f aca="true">INDIRECT("'Ответы на форму (1)'!C"&amp;$N34,TRUE())</f>
        <v>#REF!</v>
      </c>
      <c r="D34" s="0" t="e">
        <f aca="true">INDIRECT("'Ответы на форму (1)'!D"&amp;$N34,TRUE())</f>
        <v>#REF!</v>
      </c>
      <c r="E34" s="0" t="n">
        <f aca="false">IFERROR(__xludf.dummyfunction("iferror(VALUE(REGEXEXTRACT(TEXT(INDIRECT(""'Ответы на форму (1)'!E""&amp;$N34,TRUE),""####""),""[0-9]+"")),IF(IFERROR(SEARCH(""моцро"",INDIRECT(""'Ответы на форму (1)'!E""&amp;$N34,TRUE)),-1) &gt;= 0,117,INDIRECT(""'Ответы на форму (1)'!E""&amp;$N34,TRUE)))"),117)</f>
        <v>117</v>
      </c>
      <c r="F34" s="0" t="e">
        <f aca="true">INDIRECT("'Ответы на форму (1)'!F"&amp;$N34,TRUE())</f>
        <v>#REF!</v>
      </c>
      <c r="G34" s="9" t="e">
        <f aca="true">IFERROR(MID(INDIRECT("'Ответы на форму (1)'!G"&amp;$N34,TRUE()),SEARCH("vk.com",INDIRECT("'Ответы на форму (1)'!G"&amp;$N34,TRUE())),LEN(INDIRECT("'Ответы на форму (1)'!G"&amp;$N34,TRUE()))),INDIRECT("'Ответы на форму (1)'!G"&amp;$N34,TRUE()))</f>
        <v>#REF!</v>
      </c>
      <c r="H34" s="0" t="e">
        <f aca="true">INDIRECT("'Ответы на форму (1)'!H"&amp;$N34,TRUE())</f>
        <v>#REF!</v>
      </c>
      <c r="I34" s="12" t="e">
        <f aca="true">INDIRECT("'Ответы на форму (1)'!I"&amp;$N34,TRUE())</f>
        <v>#REF!</v>
      </c>
      <c r="J34" s="12" t="e">
        <f aca="true">INDIRECT("'Ответы на форму (1)'!J"&amp;$N34,TRUE())</f>
        <v>#REF!</v>
      </c>
      <c r="K34" s="12" t="e">
        <f aca="true">INDIRECT("'Ответы на форму (1)'!K"&amp;$N34,TRUE())</f>
        <v>#REF!</v>
      </c>
      <c r="L34" s="12" t="e">
        <f aca="true">INDIRECT("'Ответы на форму (1)'!L"&amp;$N34,TRUE())</f>
        <v>#REF!</v>
      </c>
      <c r="M34" s="0" t="e">
        <f aca="false" t="array" ref="M34:M34">IF(B34 &lt;&gt; "",IF(COUNTIF(concat(TRIM('Список прошлого года'!$B$2:$B$200),TRIM('Список прошлого года'!$C$2:$C$200)),concat(TRIM(B34),TRIM(C34))) &gt; 0,"Да","Нет"),"")</f>
        <v>#REF!</v>
      </c>
      <c r="N34" s="1" t="n">
        <v>38</v>
      </c>
      <c r="O34" s="13" t="n">
        <v>2</v>
      </c>
      <c r="Q34" s="1" t="n">
        <f aca="false">FALSE()</f>
        <v>0</v>
      </c>
      <c r="R34" s="1" t="n">
        <f aca="false">TRUE()</f>
        <v>1</v>
      </c>
      <c r="S34" s="1" t="n">
        <f aca="false">TRUE()</f>
        <v>1</v>
      </c>
      <c r="T34" s="1" t="n">
        <f aca="false">TRUE()</f>
        <v>1</v>
      </c>
      <c r="U34" s="1" t="n">
        <f aca="false">TRUE()</f>
        <v>1</v>
      </c>
      <c r="V34" s="1" t="n">
        <f aca="false">FALSE()</f>
        <v>0</v>
      </c>
      <c r="W34" s="1" t="n">
        <f aca="false">TRUE()</f>
        <v>1</v>
      </c>
      <c r="X34" s="1" t="n">
        <f aca="false">TRUE()</f>
        <v>1</v>
      </c>
      <c r="Y34" s="1" t="n">
        <f aca="false">TRUE()</f>
        <v>1</v>
      </c>
      <c r="Z34" s="1" t="n">
        <f aca="false">TRUE()</f>
        <v>1</v>
      </c>
      <c r="AA34" s="1" t="n">
        <f aca="false">FALSE()</f>
        <v>0</v>
      </c>
      <c r="AB34" s="1" t="n">
        <f aca="false">FALSE()</f>
        <v>0</v>
      </c>
      <c r="AC34" s="1" t="n">
        <f aca="false">FALSE()</f>
        <v>0</v>
      </c>
      <c r="AD34" s="1" t="n">
        <f aca="false">FALSE()</f>
        <v>0</v>
      </c>
      <c r="AE34" s="1" t="n">
        <f aca="false">FALSE()</f>
        <v>0</v>
      </c>
      <c r="AF34" s="1" t="n">
        <f aca="false">FALSE()</f>
        <v>0</v>
      </c>
      <c r="AG34" s="1" t="n">
        <f aca="false">FALSE()</f>
        <v>0</v>
      </c>
      <c r="AH34" s="1" t="n">
        <f aca="false">FALSE()</f>
        <v>0</v>
      </c>
      <c r="AI34" s="1" t="n">
        <f aca="false">FALSE()</f>
        <v>0</v>
      </c>
      <c r="AJ34" s="1" t="n">
        <f aca="false">FALSE()</f>
        <v>0</v>
      </c>
      <c r="AK34" s="1" t="n">
        <f aca="false" t="array" ref="AK34:AK34">SUM(IF(Q34:U34,1,0))</f>
        <v>4</v>
      </c>
      <c r="AL34" s="14" t="n">
        <f aca="false" t="array" ref="AL34:AL34">SUM(IF(V34:Z34,1,0))</f>
        <v>4</v>
      </c>
      <c r="AM34" s="14" t="n">
        <f aca="false" t="array" ref="AM34:AM34">SUM(IF(AA34:AE34,1,0))</f>
        <v>0</v>
      </c>
      <c r="AN34" s="14" t="n">
        <f aca="false" t="array" ref="AN34:AN34">SUM(IF(AF34:AJ34,1,0))</f>
        <v>0</v>
      </c>
      <c r="AO34" s="1" t="n">
        <f aca="false">FALSE()</f>
        <v>0</v>
      </c>
      <c r="AP34" s="1" t="n">
        <f aca="false">IF(O34 = 2,COUNTIF(Q34:AJ34,"TRUE"),-1)</f>
        <v>8</v>
      </c>
    </row>
    <row r="35" customFormat="false" ht="15.75" hidden="false" customHeight="false" outlineLevel="0" collapsed="false">
      <c r="A35" s="8" t="e">
        <f aca="true">INDIRECT("'Ответы на форму (1)'!A"&amp;$N35,TRUE())</f>
        <v>#REF!</v>
      </c>
      <c r="B35" s="0" t="e">
        <f aca="true">INDIRECT("'Ответы на форму (1)'!B"&amp;$N35,TRUE())</f>
        <v>#REF!</v>
      </c>
      <c r="C35" s="0" t="e">
        <f aca="true">INDIRECT("'Ответы на форму (1)'!C"&amp;$N35,TRUE())</f>
        <v>#REF!</v>
      </c>
      <c r="D35" s="0" t="e">
        <f aca="true">INDIRECT("'Ответы на форму (1)'!D"&amp;$N35,TRUE())</f>
        <v>#REF!</v>
      </c>
      <c r="E35" s="0" t="n">
        <f aca="false">IFERROR(__xludf.dummyfunction("iferror(VALUE(REGEXEXTRACT(TEXT(INDIRECT(""'Ответы на форму (1)'!E""&amp;$N35,TRUE),""####""),""[0-9]+"")),IF(IFERROR(SEARCH(""моцро"",INDIRECT(""'Ответы на форму (1)'!E""&amp;$N35,TRUE)),-1) &gt;= 0,117,INDIRECT(""'Ответы на форму (1)'!E""&amp;$N35,TRUE)))"),117)</f>
        <v>117</v>
      </c>
      <c r="F35" s="0" t="e">
        <f aca="true">INDIRECT("'Ответы на форму (1)'!F"&amp;$N35,TRUE())</f>
        <v>#REF!</v>
      </c>
      <c r="G35" s="9" t="e">
        <f aca="true">IFERROR(MID(INDIRECT("'Ответы на форму (1)'!G"&amp;$N35,TRUE()),SEARCH("vk.com",INDIRECT("'Ответы на форму (1)'!G"&amp;$N35,TRUE())),LEN(INDIRECT("'Ответы на форму (1)'!G"&amp;$N35,TRUE()))),INDIRECT("'Ответы на форму (1)'!G"&amp;$N35,TRUE()))</f>
        <v>#REF!</v>
      </c>
      <c r="H35" s="0" t="e">
        <f aca="true">INDIRECT("'Ответы на форму (1)'!H"&amp;$N35,TRUE())</f>
        <v>#REF!</v>
      </c>
      <c r="I35" s="12" t="e">
        <f aca="true">INDIRECT("'Ответы на форму (1)'!I"&amp;$N35,TRUE())</f>
        <v>#REF!</v>
      </c>
      <c r="J35" s="12" t="e">
        <f aca="true">INDIRECT("'Ответы на форму (1)'!J"&amp;$N35,TRUE())</f>
        <v>#REF!</v>
      </c>
      <c r="K35" s="12" t="e">
        <f aca="true">INDIRECT("'Ответы на форму (1)'!K"&amp;$N35,TRUE())</f>
        <v>#REF!</v>
      </c>
      <c r="L35" s="12" t="e">
        <f aca="true">INDIRECT("'Ответы на форму (1)'!L"&amp;$N35,TRUE())</f>
        <v>#REF!</v>
      </c>
      <c r="M35" s="0" t="e">
        <f aca="false" t="array" ref="M35:M35">IF(B35 &lt;&gt; "",IF(COUNTIF(concat(TRIM('Список прошлого года'!$B$2:$B$200),TRIM('Список прошлого года'!$C$2:$C$200)),concat(TRIM(B35),TRIM(C35))) &gt; 0,"Да","Нет"),"")</f>
        <v>#REF!</v>
      </c>
      <c r="N35" s="1" t="n">
        <v>39</v>
      </c>
      <c r="O35" s="13" t="n">
        <v>2</v>
      </c>
      <c r="Q35" s="1" t="n">
        <f aca="false">FALSE()</f>
        <v>0</v>
      </c>
      <c r="R35" s="1" t="n">
        <f aca="false">FALSE()</f>
        <v>0</v>
      </c>
      <c r="S35" s="1" t="n">
        <f aca="false">FALSE()</f>
        <v>0</v>
      </c>
      <c r="T35" s="1" t="n">
        <f aca="false">FALSE()</f>
        <v>0</v>
      </c>
      <c r="U35" s="1" t="n">
        <f aca="false">FALSE()</f>
        <v>0</v>
      </c>
      <c r="V35" s="1" t="n">
        <f aca="false">FALSE()</f>
        <v>0</v>
      </c>
      <c r="W35" s="1" t="n">
        <f aca="false">FALSE()</f>
        <v>0</v>
      </c>
      <c r="X35" s="1" t="n">
        <f aca="false">FALSE()</f>
        <v>0</v>
      </c>
      <c r="Y35" s="1" t="n">
        <f aca="false">FALSE()</f>
        <v>0</v>
      </c>
      <c r="Z35" s="1" t="n">
        <f aca="false">FALSE()</f>
        <v>0</v>
      </c>
      <c r="AA35" s="1" t="n">
        <f aca="false">FALSE()</f>
        <v>0</v>
      </c>
      <c r="AB35" s="1" t="n">
        <f aca="false">FALSE()</f>
        <v>0</v>
      </c>
      <c r="AC35" s="1" t="n">
        <f aca="false">FALSE()</f>
        <v>0</v>
      </c>
      <c r="AD35" s="1" t="n">
        <f aca="false">FALSE()</f>
        <v>0</v>
      </c>
      <c r="AE35" s="1" t="n">
        <f aca="false">FALSE()</f>
        <v>0</v>
      </c>
      <c r="AF35" s="1" t="n">
        <f aca="false">FALSE()</f>
        <v>0</v>
      </c>
      <c r="AG35" s="1" t="n">
        <f aca="false">FALSE()</f>
        <v>0</v>
      </c>
      <c r="AH35" s="1" t="n">
        <f aca="false">FALSE()</f>
        <v>0</v>
      </c>
      <c r="AI35" s="1" t="n">
        <f aca="false">FALSE()</f>
        <v>0</v>
      </c>
      <c r="AJ35" s="1" t="n">
        <f aca="false">FALSE()</f>
        <v>0</v>
      </c>
      <c r="AK35" s="1" t="n">
        <f aca="false" t="array" ref="AK35:AK35">SUM(IF(Q35:U35,1,0))</f>
        <v>0</v>
      </c>
      <c r="AL35" s="14" t="n">
        <f aca="false" t="array" ref="AL35:AL35">SUM(IF(V35:Z35,1,0))</f>
        <v>0</v>
      </c>
      <c r="AM35" s="14" t="n">
        <f aca="false" t="array" ref="AM35:AM35">SUM(IF(AA35:AE35,1,0))</f>
        <v>0</v>
      </c>
      <c r="AN35" s="14" t="n">
        <f aca="false" t="array" ref="AN35:AN35">SUM(IF(AF35:AJ35,1,0))</f>
        <v>0</v>
      </c>
      <c r="AO35" s="1" t="n">
        <f aca="false">FALSE()</f>
        <v>0</v>
      </c>
      <c r="AP35" s="1" t="n">
        <f aca="false">IF(O35 = 2,COUNTIF(Q35:AJ35,"TRUE"),-1)</f>
        <v>0</v>
      </c>
    </row>
    <row r="36" customFormat="false" ht="15.75" hidden="false" customHeight="false" outlineLevel="0" collapsed="false">
      <c r="A36" s="8" t="e">
        <f aca="true">INDIRECT("'Ответы на форму (1)'!A"&amp;$N36,TRUE())</f>
        <v>#REF!</v>
      </c>
      <c r="B36" s="0" t="e">
        <f aca="true">INDIRECT("'Ответы на форму (1)'!B"&amp;$N36,TRUE())</f>
        <v>#REF!</v>
      </c>
      <c r="C36" s="0" t="e">
        <f aca="true">INDIRECT("'Ответы на форму (1)'!C"&amp;$N36,TRUE())</f>
        <v>#REF!</v>
      </c>
      <c r="D36" s="0" t="e">
        <f aca="true">INDIRECT("'Ответы на форму (1)'!D"&amp;$N36,TRUE())</f>
        <v>#REF!</v>
      </c>
      <c r="E36" s="0" t="n">
        <f aca="false">IFERROR(__xludf.dummyfunction("iferror(VALUE(REGEXEXTRACT(TEXT(INDIRECT(""'Ответы на форму (1)'!E""&amp;$N36,TRUE),""####""),""[0-9]+"")),IF(IFERROR(SEARCH(""моцро"",INDIRECT(""'Ответы на форму (1)'!E""&amp;$N36,TRUE)),-1) &gt;= 0,117,INDIRECT(""'Ответы на форму (1)'!E""&amp;$N36,TRUE)))"),74)</f>
        <v>74</v>
      </c>
      <c r="F36" s="0" t="e">
        <f aca="true">INDIRECT("'Ответы на форму (1)'!F"&amp;$N36,TRUE())</f>
        <v>#REF!</v>
      </c>
      <c r="G36" s="9" t="e">
        <f aca="true">IFERROR(MID(INDIRECT("'Ответы на форму (1)'!G"&amp;$N36,TRUE()),SEARCH("vk.com",INDIRECT("'Ответы на форму (1)'!G"&amp;$N36,TRUE())),LEN(INDIRECT("'Ответы на форму (1)'!G"&amp;$N36,TRUE()))),INDIRECT("'Ответы на форму (1)'!G"&amp;$N36,TRUE()))</f>
        <v>#REF!</v>
      </c>
      <c r="H36" s="0" t="e">
        <f aca="true">INDIRECT("'Ответы на форму (1)'!H"&amp;$N36,TRUE())</f>
        <v>#REF!</v>
      </c>
      <c r="I36" s="12" t="e">
        <f aca="true">INDIRECT("'Ответы на форму (1)'!I"&amp;$N36,TRUE())</f>
        <v>#REF!</v>
      </c>
      <c r="J36" s="12" t="e">
        <f aca="true">INDIRECT("'Ответы на форму (1)'!J"&amp;$N36,TRUE())</f>
        <v>#REF!</v>
      </c>
      <c r="K36" s="12" t="e">
        <f aca="true">INDIRECT("'Ответы на форму (1)'!K"&amp;$N36,TRUE())</f>
        <v>#REF!</v>
      </c>
      <c r="L36" s="12" t="e">
        <f aca="true">INDIRECT("'Ответы на форму (1)'!L"&amp;$N36,TRUE())</f>
        <v>#REF!</v>
      </c>
      <c r="M36" s="0" t="e">
        <f aca="false" t="array" ref="M36:M36">IF(B36 &lt;&gt; "",IF(COUNTIF(concat(TRIM('Список прошлого года'!$B$2:$B$200),TRIM('Список прошлого года'!$C$2:$C$200)),concat(TRIM(B36),TRIM(C36))) &gt; 0,"Да","Нет"),"")</f>
        <v>#REF!</v>
      </c>
      <c r="N36" s="1" t="n">
        <v>40</v>
      </c>
      <c r="O36" s="1" t="n">
        <v>2</v>
      </c>
      <c r="Q36" s="1" t="n">
        <f aca="false">TRUE()</f>
        <v>1</v>
      </c>
      <c r="R36" s="1" t="n">
        <f aca="false">FALSE()</f>
        <v>0</v>
      </c>
      <c r="S36" s="1" t="n">
        <f aca="false">TRUE()</f>
        <v>1</v>
      </c>
      <c r="T36" s="1" t="n">
        <f aca="false">TRUE()</f>
        <v>1</v>
      </c>
      <c r="U36" s="1" t="n">
        <f aca="false">FALSE()</f>
        <v>0</v>
      </c>
      <c r="V36" s="1" t="n">
        <f aca="false">TRUE()</f>
        <v>1</v>
      </c>
      <c r="W36" s="1" t="n">
        <f aca="false">TRUE()</f>
        <v>1</v>
      </c>
      <c r="X36" s="1" t="n">
        <f aca="false">TRUE()</f>
        <v>1</v>
      </c>
      <c r="Y36" s="1" t="n">
        <f aca="false">TRUE()</f>
        <v>1</v>
      </c>
      <c r="Z36" s="1" t="n">
        <f aca="false">TRUE()</f>
        <v>1</v>
      </c>
      <c r="AA36" s="1" t="n">
        <f aca="false">TRUE()</f>
        <v>1</v>
      </c>
      <c r="AB36" s="1" t="n">
        <f aca="false">TRUE()</f>
        <v>1</v>
      </c>
      <c r="AC36" s="1" t="n">
        <f aca="false">FALSE()</f>
        <v>0</v>
      </c>
      <c r="AD36" s="1" t="n">
        <f aca="false">TRUE()</f>
        <v>1</v>
      </c>
      <c r="AE36" s="1" t="n">
        <f aca="false">FALSE()</f>
        <v>0</v>
      </c>
      <c r="AF36" s="1" t="n">
        <f aca="false">TRUE()</f>
        <v>1</v>
      </c>
      <c r="AG36" s="1" t="n">
        <f aca="false">TRUE()</f>
        <v>1</v>
      </c>
      <c r="AH36" s="1" t="n">
        <f aca="false">TRUE()</f>
        <v>1</v>
      </c>
      <c r="AI36" s="1" t="n">
        <f aca="false">TRUE()</f>
        <v>1</v>
      </c>
      <c r="AJ36" s="1" t="n">
        <f aca="false">TRUE()</f>
        <v>1</v>
      </c>
      <c r="AK36" s="1" t="n">
        <f aca="false" t="array" ref="AK36:AK36">SUM(IF(Q36:U36,1,0))</f>
        <v>3</v>
      </c>
      <c r="AL36" s="14" t="n">
        <f aca="false" t="array" ref="AL36:AL36">SUM(IF(V36:Z36,1,0))</f>
        <v>5</v>
      </c>
      <c r="AM36" s="14" t="n">
        <f aca="false" t="array" ref="AM36:AM36">SUM(IF(AA36:AE36,1,0))</f>
        <v>3</v>
      </c>
      <c r="AN36" s="14" t="n">
        <f aca="false" t="array" ref="AN36:AN36">SUM(IF(AF36:AJ36,1,0))</f>
        <v>5</v>
      </c>
      <c r="AO36" s="1" t="n">
        <f aca="false">FALSE()</f>
        <v>0</v>
      </c>
      <c r="AP36" s="1" t="n">
        <f aca="false">IF(O36 = 2,COUNTIF(Q36:AJ36,"TRUE"),-1)</f>
        <v>16</v>
      </c>
    </row>
    <row r="37" customFormat="false" ht="15.75" hidden="false" customHeight="false" outlineLevel="0" collapsed="false">
      <c r="A37" s="8" t="e">
        <f aca="true">INDIRECT("'Ответы на форму (1)'!A"&amp;$N37,TRUE())</f>
        <v>#REF!</v>
      </c>
      <c r="B37" s="0" t="e">
        <f aca="true">INDIRECT("'Ответы на форму (1)'!B"&amp;$N37,TRUE())</f>
        <v>#REF!</v>
      </c>
      <c r="C37" s="0" t="e">
        <f aca="true">INDIRECT("'Ответы на форму (1)'!C"&amp;$N37,TRUE())</f>
        <v>#REF!</v>
      </c>
      <c r="D37" s="0" t="e">
        <f aca="true">INDIRECT("'Ответы на форму (1)'!D"&amp;$N37,TRUE())</f>
        <v>#REF!</v>
      </c>
      <c r="E37" s="0" t="n">
        <f aca="false">IFERROR(__xludf.dummyfunction("iferror(VALUE(REGEXEXTRACT(TEXT(INDIRECT(""'Ответы на форму (1)'!E""&amp;$N37,TRUE),""####""),""[0-9]+"")),IF(IFERROR(SEARCH(""моцро"",INDIRECT(""'Ответы на форму (1)'!E""&amp;$N37,TRUE)),-1) &gt;= 0,117,INDIRECT(""'Ответы на форму (1)'!E""&amp;$N37,TRUE)))"),117)</f>
        <v>117</v>
      </c>
      <c r="F37" s="0" t="e">
        <f aca="true">INDIRECT("'Ответы на форму (1)'!F"&amp;$N37,TRUE())</f>
        <v>#REF!</v>
      </c>
      <c r="G37" s="9" t="e">
        <f aca="true">IFERROR(MID(INDIRECT("'Ответы на форму (1)'!G"&amp;$N37,TRUE()),SEARCH("vk.com",INDIRECT("'Ответы на форму (1)'!G"&amp;$N37,TRUE())),LEN(INDIRECT("'Ответы на форму (1)'!G"&amp;$N37,TRUE()))),INDIRECT("'Ответы на форму (1)'!G"&amp;$N37,TRUE()))</f>
        <v>#REF!</v>
      </c>
      <c r="H37" s="0" t="e">
        <f aca="true">INDIRECT("'Ответы на форму (1)'!H"&amp;$N37,TRUE())</f>
        <v>#REF!</v>
      </c>
      <c r="I37" s="12" t="e">
        <f aca="true">INDIRECT("'Ответы на форму (1)'!I"&amp;$N37,TRUE())</f>
        <v>#REF!</v>
      </c>
      <c r="J37" s="12" t="e">
        <f aca="true">INDIRECT("'Ответы на форму (1)'!J"&amp;$N37,TRUE())</f>
        <v>#REF!</v>
      </c>
      <c r="K37" s="12" t="e">
        <f aca="true">INDIRECT("'Ответы на форму (1)'!K"&amp;$N37,TRUE())</f>
        <v>#REF!</v>
      </c>
      <c r="L37" s="12" t="e">
        <f aca="true">INDIRECT("'Ответы на форму (1)'!L"&amp;$N37,TRUE())</f>
        <v>#REF!</v>
      </c>
      <c r="M37" s="0" t="e">
        <f aca="false" t="array" ref="M37:M37">IF(B37 &lt;&gt; "",IF(COUNTIF(concat(TRIM('Список прошлого года'!$B$2:$B$200),TRIM('Список прошлого года'!$C$2:$C$200)),concat(TRIM(B37),TRIM(C37))) &gt; 0,"Да","Нет"),"")</f>
        <v>#REF!</v>
      </c>
      <c r="N37" s="1" t="n">
        <v>41</v>
      </c>
      <c r="O37" s="1" t="n">
        <v>2</v>
      </c>
      <c r="Q37" s="1" t="n">
        <f aca="false">FALSE()</f>
        <v>0</v>
      </c>
      <c r="R37" s="1" t="n">
        <f aca="false">FALSE()</f>
        <v>0</v>
      </c>
      <c r="S37" s="1" t="n">
        <f aca="false">FALSE()</f>
        <v>0</v>
      </c>
      <c r="T37" s="1" t="n">
        <f aca="false">FALSE()</f>
        <v>0</v>
      </c>
      <c r="U37" s="1" t="n">
        <f aca="false">FALSE()</f>
        <v>0</v>
      </c>
      <c r="V37" s="1" t="n">
        <f aca="false">FALSE()</f>
        <v>0</v>
      </c>
      <c r="W37" s="1" t="n">
        <f aca="false">FALSE()</f>
        <v>0</v>
      </c>
      <c r="X37" s="1" t="n">
        <f aca="false">FALSE()</f>
        <v>0</v>
      </c>
      <c r="Y37" s="1" t="n">
        <f aca="false">FALSE()</f>
        <v>0</v>
      </c>
      <c r="Z37" s="1" t="n">
        <f aca="false">FALSE()</f>
        <v>0</v>
      </c>
      <c r="AA37" s="1" t="n">
        <f aca="false">TRUE()</f>
        <v>1</v>
      </c>
      <c r="AB37" s="1" t="n">
        <f aca="false">TRUE()</f>
        <v>1</v>
      </c>
      <c r="AC37" s="1" t="n">
        <f aca="false">TRUE()</f>
        <v>1</v>
      </c>
      <c r="AD37" s="1" t="n">
        <f aca="false">TRUE()</f>
        <v>1</v>
      </c>
      <c r="AE37" s="1" t="n">
        <f aca="false">TRUE()</f>
        <v>1</v>
      </c>
      <c r="AF37" s="1" t="n">
        <f aca="false">TRUE()</f>
        <v>1</v>
      </c>
      <c r="AG37" s="1" t="n">
        <f aca="false">FALSE()</f>
        <v>0</v>
      </c>
      <c r="AH37" s="1" t="n">
        <f aca="false">TRUE()</f>
        <v>1</v>
      </c>
      <c r="AI37" s="1" t="n">
        <f aca="false">TRUE()</f>
        <v>1</v>
      </c>
      <c r="AJ37" s="1" t="n">
        <f aca="false">TRUE()</f>
        <v>1</v>
      </c>
      <c r="AK37" s="1" t="n">
        <f aca="false" t="array" ref="AK37:AK37">SUM(IF(Q37:U37,1,0))</f>
        <v>0</v>
      </c>
      <c r="AL37" s="14" t="n">
        <f aca="false" t="array" ref="AL37:AL37">SUM(IF(V37:Z37,1,0))</f>
        <v>0</v>
      </c>
      <c r="AM37" s="14" t="n">
        <f aca="false" t="array" ref="AM37:AM37">SUM(IF(AA37:AE37,1,0))</f>
        <v>5</v>
      </c>
      <c r="AN37" s="14" t="n">
        <f aca="false" t="array" ref="AN37:AN37">SUM(IF(AF37:AJ37,1,0))</f>
        <v>4</v>
      </c>
      <c r="AO37" s="1" t="n">
        <f aca="false">FALSE()</f>
        <v>0</v>
      </c>
      <c r="AP37" s="1" t="n">
        <f aca="false">IF(O37 = 2,COUNTIF(Q37:AJ37,"TRUE"),-1)</f>
        <v>9</v>
      </c>
    </row>
    <row r="38" customFormat="false" ht="15.75" hidden="false" customHeight="false" outlineLevel="0" collapsed="false">
      <c r="A38" s="8" t="e">
        <f aca="true">INDIRECT("'Ответы на форму (1)'!A"&amp;$N38,TRUE())</f>
        <v>#REF!</v>
      </c>
      <c r="B38" s="0" t="e">
        <f aca="true">INDIRECT("'Ответы на форму (1)'!B"&amp;$N38,TRUE())</f>
        <v>#REF!</v>
      </c>
      <c r="C38" s="0" t="e">
        <f aca="true">INDIRECT("'Ответы на форму (1)'!C"&amp;$N38,TRUE())</f>
        <v>#REF!</v>
      </c>
      <c r="D38" s="0" t="e">
        <f aca="true">INDIRECT("'Ответы на форму (1)'!D"&amp;$N38,TRUE())</f>
        <v>#REF!</v>
      </c>
      <c r="E38" s="0" t="n">
        <f aca="false">IFERROR(__xludf.dummyfunction("iferror(VALUE(REGEXEXTRACT(TEXT(INDIRECT(""'Ответы на форму (1)'!E""&amp;$N38,TRUE),""####""),""[0-9]+"")),IF(IFERROR(SEARCH(""моцро"",INDIRECT(""'Ответы на форму (1)'!E""&amp;$N38,TRUE)),-1) &gt;= 0,117,INDIRECT(""'Ответы на форму (1)'!E""&amp;$N38,TRUE)))"),117)</f>
        <v>117</v>
      </c>
      <c r="F38" s="0" t="e">
        <f aca="true">INDIRECT("'Ответы на форму (1)'!F"&amp;$N38,TRUE())</f>
        <v>#REF!</v>
      </c>
      <c r="G38" s="9" t="e">
        <f aca="true">IFERROR(MID(INDIRECT("'Ответы на форму (1)'!G"&amp;$N38,TRUE()),SEARCH("vk.com",INDIRECT("'Ответы на форму (1)'!G"&amp;$N38,TRUE())),LEN(INDIRECT("'Ответы на форму (1)'!G"&amp;$N38,TRUE()))),INDIRECT("'Ответы на форму (1)'!G"&amp;$N38,TRUE()))</f>
        <v>#REF!</v>
      </c>
      <c r="H38" s="0" t="e">
        <f aca="true">INDIRECT("'Ответы на форму (1)'!H"&amp;$N38,TRUE())</f>
        <v>#REF!</v>
      </c>
      <c r="I38" s="12" t="e">
        <f aca="true">INDIRECT("'Ответы на форму (1)'!I"&amp;$N38,TRUE())</f>
        <v>#REF!</v>
      </c>
      <c r="J38" s="12" t="e">
        <f aca="true">INDIRECT("'Ответы на форму (1)'!J"&amp;$N38,TRUE())</f>
        <v>#REF!</v>
      </c>
      <c r="K38" s="12" t="e">
        <f aca="true">INDIRECT("'Ответы на форму (1)'!K"&amp;$N38,TRUE())</f>
        <v>#REF!</v>
      </c>
      <c r="L38" s="12" t="e">
        <f aca="true">INDIRECT("'Ответы на форму (1)'!L"&amp;$N38,TRUE())</f>
        <v>#REF!</v>
      </c>
      <c r="M38" s="0" t="e">
        <f aca="false" t="array" ref="M38:M38">IF(B38 &lt;&gt; "",IF(COUNTIF(concat(TRIM('Список прошлого года'!$B$2:$B$200),TRIM('Список прошлого года'!$C$2:$C$200)),concat(TRIM(B38),TRIM(C38))) &gt; 0,"Да","Нет"),"")</f>
        <v>#REF!</v>
      </c>
      <c r="N38" s="1" t="n">
        <v>42</v>
      </c>
      <c r="O38" s="13" t="n">
        <v>2</v>
      </c>
      <c r="Q38" s="1" t="n">
        <f aca="false">FALSE()</f>
        <v>0</v>
      </c>
      <c r="R38" s="1" t="n">
        <f aca="false">FALSE()</f>
        <v>0</v>
      </c>
      <c r="S38" s="1" t="n">
        <f aca="false">FALSE()</f>
        <v>0</v>
      </c>
      <c r="T38" s="1" t="n">
        <f aca="false">FALSE()</f>
        <v>0</v>
      </c>
      <c r="U38" s="1" t="n">
        <f aca="false">FALSE()</f>
        <v>0</v>
      </c>
      <c r="V38" s="1" t="n">
        <f aca="false">TRUE()</f>
        <v>1</v>
      </c>
      <c r="W38" s="1" t="n">
        <f aca="false">TRUE()</f>
        <v>1</v>
      </c>
      <c r="X38" s="1" t="n">
        <f aca="false">TRUE()</f>
        <v>1</v>
      </c>
      <c r="Y38" s="1" t="n">
        <f aca="false">TRUE()</f>
        <v>1</v>
      </c>
      <c r="Z38" s="1" t="n">
        <f aca="false">TRUE()</f>
        <v>1</v>
      </c>
      <c r="AA38" s="1" t="n">
        <f aca="false">TRUE()</f>
        <v>1</v>
      </c>
      <c r="AB38" s="1" t="n">
        <f aca="false">TRUE()</f>
        <v>1</v>
      </c>
      <c r="AC38" s="1" t="n">
        <f aca="false">TRUE()</f>
        <v>1</v>
      </c>
      <c r="AD38" s="1" t="n">
        <f aca="false">TRUE()</f>
        <v>1</v>
      </c>
      <c r="AE38" s="1" t="n">
        <f aca="false">TRUE()</f>
        <v>1</v>
      </c>
      <c r="AF38" s="1" t="n">
        <f aca="false">FALSE()</f>
        <v>0</v>
      </c>
      <c r="AG38" s="1" t="n">
        <f aca="false">FALSE()</f>
        <v>0</v>
      </c>
      <c r="AH38" s="1" t="n">
        <f aca="false">FALSE()</f>
        <v>0</v>
      </c>
      <c r="AI38" s="1" t="n">
        <f aca="false">FALSE()</f>
        <v>0</v>
      </c>
      <c r="AJ38" s="1" t="n">
        <f aca="false">FALSE()</f>
        <v>0</v>
      </c>
      <c r="AK38" s="1" t="n">
        <f aca="false" t="array" ref="AK38:AK38">SUM(IF(Q38:U38,1,0))</f>
        <v>0</v>
      </c>
      <c r="AL38" s="14" t="n">
        <f aca="false" t="array" ref="AL38:AL38">SUM(IF(V38:Z38,1,0))</f>
        <v>5</v>
      </c>
      <c r="AM38" s="14" t="n">
        <f aca="false" t="array" ref="AM38:AM38">SUM(IF(AA38:AE38,1,0))</f>
        <v>5</v>
      </c>
      <c r="AN38" s="14" t="n">
        <f aca="false" t="array" ref="AN38:AN38">SUM(IF(AF38:AJ38,1,0))</f>
        <v>0</v>
      </c>
      <c r="AO38" s="1" t="n">
        <f aca="false">FALSE()</f>
        <v>0</v>
      </c>
      <c r="AP38" s="1" t="n">
        <f aca="false">IF(O38 = 2,COUNTIF(Q38:AJ38,"TRUE"),-1)</f>
        <v>10</v>
      </c>
    </row>
    <row r="39" customFormat="false" ht="15.75" hidden="false" customHeight="false" outlineLevel="0" collapsed="false">
      <c r="A39" s="8" t="e">
        <f aca="true">INDIRECT("'Ответы на форму (1)'!A"&amp;$N39,TRUE())</f>
        <v>#REF!</v>
      </c>
      <c r="B39" s="0" t="e">
        <f aca="true">INDIRECT("'Ответы на форму (1)'!B"&amp;$N39,TRUE())</f>
        <v>#REF!</v>
      </c>
      <c r="C39" s="0" t="e">
        <f aca="true">INDIRECT("'Ответы на форму (1)'!C"&amp;$N39,TRUE())</f>
        <v>#REF!</v>
      </c>
      <c r="D39" s="0" t="e">
        <f aca="true">INDIRECT("'Ответы на форму (1)'!D"&amp;$N39,TRUE())</f>
        <v>#REF!</v>
      </c>
      <c r="E39" s="0" t="n">
        <f aca="false">IFERROR(__xludf.dummyfunction("iferror(VALUE(REGEXEXTRACT(TEXT(INDIRECT(""'Ответы на форму (1)'!E""&amp;$N39,TRUE),""####""),""[0-9]+"")),IF(IFERROR(SEARCH(""моцро"",INDIRECT(""'Ответы на форму (1)'!E""&amp;$N39,TRUE)),-1) &gt;= 0,117,INDIRECT(""'Ответы на форму (1)'!E""&amp;$N39,TRUE)))"),117)</f>
        <v>117</v>
      </c>
      <c r="F39" s="0" t="e">
        <f aca="true">INDIRECT("'Ответы на форму (1)'!F"&amp;$N39,TRUE())</f>
        <v>#REF!</v>
      </c>
      <c r="G39" s="9" t="e">
        <f aca="true">IFERROR(MID(INDIRECT("'Ответы на форму (1)'!G"&amp;$N39,TRUE()),SEARCH("vk.com",INDIRECT("'Ответы на форму (1)'!G"&amp;$N39,TRUE())),LEN(INDIRECT("'Ответы на форму (1)'!G"&amp;$N39,TRUE()))),INDIRECT("'Ответы на форму (1)'!G"&amp;$N39,TRUE()))</f>
        <v>#REF!</v>
      </c>
      <c r="H39" s="0" t="e">
        <f aca="true">INDIRECT("'Ответы на форму (1)'!H"&amp;$N39,TRUE())</f>
        <v>#REF!</v>
      </c>
      <c r="I39" s="12" t="e">
        <f aca="true">INDIRECT("'Ответы на форму (1)'!I"&amp;$N39,TRUE())</f>
        <v>#REF!</v>
      </c>
      <c r="J39" s="12" t="e">
        <f aca="true">INDIRECT("'Ответы на форму (1)'!J"&amp;$N39,TRUE())</f>
        <v>#REF!</v>
      </c>
      <c r="K39" s="12" t="e">
        <f aca="true">INDIRECT("'Ответы на форму (1)'!K"&amp;$N39,TRUE())</f>
        <v>#REF!</v>
      </c>
      <c r="L39" s="12" t="e">
        <f aca="true">INDIRECT("'Ответы на форму (1)'!L"&amp;$N39,TRUE())</f>
        <v>#REF!</v>
      </c>
      <c r="M39" s="0" t="e">
        <f aca="false" t="array" ref="M39:M39">IF(B39 &lt;&gt; "",IF(COUNTIF(concat(TRIM('Список прошлого года'!$B$2:$B$200),TRIM('Список прошлого года'!$C$2:$C$200)),concat(TRIM(B39),TRIM(C39))) &gt; 0,"Да","Нет"),"")</f>
        <v>#REF!</v>
      </c>
      <c r="N39" s="1" t="n">
        <v>43</v>
      </c>
      <c r="O39" s="13" t="n">
        <v>2</v>
      </c>
      <c r="Q39" s="1" t="n">
        <f aca="false">TRUE()</f>
        <v>1</v>
      </c>
      <c r="R39" s="1" t="n">
        <f aca="false">TRUE()</f>
        <v>1</v>
      </c>
      <c r="S39" s="1" t="n">
        <f aca="false">TRUE()</f>
        <v>1</v>
      </c>
      <c r="T39" s="1" t="n">
        <f aca="false">FALSE()</f>
        <v>0</v>
      </c>
      <c r="U39" s="1" t="n">
        <f aca="false">FALSE()</f>
        <v>0</v>
      </c>
      <c r="V39" s="1" t="n">
        <f aca="false">TRUE()</f>
        <v>1</v>
      </c>
      <c r="W39" s="1" t="n">
        <f aca="false">TRUE()</f>
        <v>1</v>
      </c>
      <c r="X39" s="1" t="n">
        <f aca="false">TRUE()</f>
        <v>1</v>
      </c>
      <c r="Y39" s="1" t="n">
        <f aca="false">FALSE()</f>
        <v>0</v>
      </c>
      <c r="Z39" s="1" t="n">
        <f aca="false">FALSE()</f>
        <v>0</v>
      </c>
      <c r="AA39" s="1" t="n">
        <f aca="false">FALSE()</f>
        <v>0</v>
      </c>
      <c r="AB39" s="1" t="n">
        <f aca="false">FALSE()</f>
        <v>0</v>
      </c>
      <c r="AC39" s="1" t="n">
        <f aca="false">FALSE()</f>
        <v>0</v>
      </c>
      <c r="AD39" s="1" t="n">
        <f aca="false">FALSE()</f>
        <v>0</v>
      </c>
      <c r="AE39" s="1" t="n">
        <f aca="false">FALSE()</f>
        <v>0</v>
      </c>
      <c r="AF39" s="1" t="n">
        <f aca="false">FALSE()</f>
        <v>0</v>
      </c>
      <c r="AG39" s="1" t="n">
        <f aca="false">FALSE()</f>
        <v>0</v>
      </c>
      <c r="AH39" s="1" t="n">
        <f aca="false">FALSE()</f>
        <v>0</v>
      </c>
      <c r="AI39" s="1" t="n">
        <f aca="false">FALSE()</f>
        <v>0</v>
      </c>
      <c r="AJ39" s="1" t="n">
        <f aca="false">FALSE()</f>
        <v>0</v>
      </c>
      <c r="AK39" s="1" t="n">
        <f aca="false" t="array" ref="AK39:AK39">SUM(IF(Q39:U39,1,0))</f>
        <v>3</v>
      </c>
      <c r="AL39" s="14" t="n">
        <f aca="false" t="array" ref="AL39:AL39">SUM(IF(V39:Z39,1,0))</f>
        <v>3</v>
      </c>
      <c r="AM39" s="14" t="n">
        <f aca="false" t="array" ref="AM39:AM39">SUM(IF(AA39:AE39,1,0))</f>
        <v>0</v>
      </c>
      <c r="AN39" s="14" t="n">
        <f aca="false" t="array" ref="AN39:AN39">SUM(IF(AF39:AJ39,1,0))</f>
        <v>0</v>
      </c>
      <c r="AO39" s="1" t="n">
        <f aca="false">FALSE()</f>
        <v>0</v>
      </c>
      <c r="AP39" s="1" t="n">
        <f aca="false">IF(O39 = 2,COUNTIF(Q39:AJ39,"TRUE"),-1)</f>
        <v>6</v>
      </c>
    </row>
    <row r="40" customFormat="false" ht="15.75" hidden="false" customHeight="false" outlineLevel="0" collapsed="false">
      <c r="A40" s="8" t="e">
        <f aca="true">INDIRECT("'Ответы на форму (1)'!A"&amp;$N40,TRUE())</f>
        <v>#REF!</v>
      </c>
      <c r="B40" s="0" t="e">
        <f aca="true">INDIRECT("'Ответы на форму (1)'!B"&amp;$N40,TRUE())</f>
        <v>#REF!</v>
      </c>
      <c r="C40" s="0" t="e">
        <f aca="true">INDIRECT("'Ответы на форму (1)'!C"&amp;$N40,TRUE())</f>
        <v>#REF!</v>
      </c>
      <c r="D40" s="0" t="e">
        <f aca="true">INDIRECT("'Ответы на форму (1)'!D"&amp;$N40,TRUE())</f>
        <v>#REF!</v>
      </c>
      <c r="E40" s="0" t="n">
        <f aca="false">IFERROR(__xludf.dummyfunction("iferror(VALUE(REGEXEXTRACT(TEXT(INDIRECT(""'Ответы на форму (1)'!E""&amp;$N40,TRUE),""####""),""[0-9]+"")),IF(IFERROR(SEARCH(""моцро"",INDIRECT(""'Ответы на форму (1)'!E""&amp;$N40,TRUE)),-1) &gt;= 0,117,INDIRECT(""'Ответы на форму (1)'!E""&amp;$N40,TRUE)))"),64)</f>
        <v>64</v>
      </c>
      <c r="F40" s="0" t="e">
        <f aca="true">INDIRECT("'Ответы на форму (1)'!F"&amp;$N40,TRUE())</f>
        <v>#REF!</v>
      </c>
      <c r="G40" s="9" t="e">
        <f aca="true">IFERROR(MID(INDIRECT("'Ответы на форму (1)'!G"&amp;$N40,TRUE()),SEARCH("vk.com",INDIRECT("'Ответы на форму (1)'!G"&amp;$N40,TRUE())),LEN(INDIRECT("'Ответы на форму (1)'!G"&amp;$N40,TRUE()))),INDIRECT("'Ответы на форму (1)'!G"&amp;$N40,TRUE()))</f>
        <v>#REF!</v>
      </c>
      <c r="H40" s="0" t="e">
        <f aca="true">INDIRECT("'Ответы на форму (1)'!H"&amp;$N40,TRUE())</f>
        <v>#REF!</v>
      </c>
      <c r="I40" s="12" t="e">
        <f aca="true">INDIRECT("'Ответы на форму (1)'!I"&amp;$N40,TRUE())</f>
        <v>#REF!</v>
      </c>
      <c r="J40" s="12" t="e">
        <f aca="true">INDIRECT("'Ответы на форму (1)'!J"&amp;$N40,TRUE())</f>
        <v>#REF!</v>
      </c>
      <c r="K40" s="12" t="e">
        <f aca="true">INDIRECT("'Ответы на форму (1)'!K"&amp;$N40,TRUE())</f>
        <v>#REF!</v>
      </c>
      <c r="L40" s="12" t="e">
        <f aca="true">INDIRECT("'Ответы на форму (1)'!L"&amp;$N40,TRUE())</f>
        <v>#REF!</v>
      </c>
      <c r="M40" s="0" t="e">
        <f aca="false" t="array" ref="M40:M40">IF(B40 &lt;&gt; "",IF(COUNTIF(concat(TRIM('Список прошлого года'!$B$2:$B$200),TRIM('Список прошлого года'!$C$2:$C$200)),concat(TRIM(B40),TRIM(C40))) &gt; 0,"Да","Нет"),"")</f>
        <v>#REF!</v>
      </c>
      <c r="N40" s="1" t="n">
        <v>44</v>
      </c>
      <c r="O40" s="13" t="n">
        <v>2</v>
      </c>
      <c r="Q40" s="1" t="n">
        <f aca="false">FALSE()</f>
        <v>0</v>
      </c>
      <c r="R40" s="1" t="n">
        <f aca="false">FALSE()</f>
        <v>0</v>
      </c>
      <c r="S40" s="1" t="n">
        <f aca="false">FALSE()</f>
        <v>0</v>
      </c>
      <c r="T40" s="1" t="n">
        <f aca="false">FALSE()</f>
        <v>0</v>
      </c>
      <c r="U40" s="1" t="n">
        <f aca="false">FALSE()</f>
        <v>0</v>
      </c>
      <c r="V40" s="1" t="n">
        <f aca="false">TRUE()</f>
        <v>1</v>
      </c>
      <c r="W40" s="1" t="n">
        <f aca="false">TRUE()</f>
        <v>1</v>
      </c>
      <c r="X40" s="1" t="n">
        <f aca="false">TRUE()</f>
        <v>1</v>
      </c>
      <c r="Y40" s="1" t="n">
        <f aca="false">FALSE()</f>
        <v>0</v>
      </c>
      <c r="Z40" s="1" t="n">
        <f aca="false">TRUE()</f>
        <v>1</v>
      </c>
      <c r="AA40" s="1" t="n">
        <f aca="false">TRUE()</f>
        <v>1</v>
      </c>
      <c r="AB40" s="1" t="n">
        <f aca="false">TRUE()</f>
        <v>1</v>
      </c>
      <c r="AC40" s="1" t="n">
        <f aca="false">TRUE()</f>
        <v>1</v>
      </c>
      <c r="AD40" s="1" t="n">
        <f aca="false">TRUE()</f>
        <v>1</v>
      </c>
      <c r="AE40" s="1" t="n">
        <f aca="false">TRUE()</f>
        <v>1</v>
      </c>
      <c r="AF40" s="1" t="n">
        <f aca="false">TRUE()</f>
        <v>1</v>
      </c>
      <c r="AG40" s="1" t="n">
        <f aca="false">TRUE()</f>
        <v>1</v>
      </c>
      <c r="AH40" s="1" t="n">
        <f aca="false">TRUE()</f>
        <v>1</v>
      </c>
      <c r="AI40" s="1" t="n">
        <f aca="false">FALSE()</f>
        <v>0</v>
      </c>
      <c r="AJ40" s="1" t="n">
        <f aca="false">FALSE()</f>
        <v>0</v>
      </c>
      <c r="AK40" s="1" t="n">
        <f aca="false" t="array" ref="AK40:AK40">SUM(IF(Q40:U40,1,0))</f>
        <v>0</v>
      </c>
      <c r="AL40" s="14" t="n">
        <f aca="false" t="array" ref="AL40:AL40">SUM(IF(V40:Z40,1,0))</f>
        <v>4</v>
      </c>
      <c r="AM40" s="14" t="n">
        <f aca="false" t="array" ref="AM40:AM40">SUM(IF(AA40:AE40,1,0))</f>
        <v>5</v>
      </c>
      <c r="AN40" s="14" t="n">
        <f aca="false" t="array" ref="AN40:AN40">SUM(IF(AF40:AJ40,1,0))</f>
        <v>3</v>
      </c>
      <c r="AO40" s="1" t="n">
        <f aca="false">FALSE()</f>
        <v>0</v>
      </c>
      <c r="AP40" s="1" t="n">
        <f aca="false">IF(O40 = 2,COUNTIF(Q40:AJ40,"TRUE"),-1)</f>
        <v>12</v>
      </c>
    </row>
    <row r="41" customFormat="false" ht="15.75" hidden="false" customHeight="false" outlineLevel="0" collapsed="false">
      <c r="A41" s="8" t="e">
        <f aca="true">INDIRECT("'Ответы на форму (1)'!A"&amp;$N41,TRUE())</f>
        <v>#REF!</v>
      </c>
      <c r="B41" s="0" t="e">
        <f aca="true">INDIRECT("'Ответы на форму (1)'!B"&amp;$N41,TRUE())</f>
        <v>#REF!</v>
      </c>
      <c r="C41" s="0" t="e">
        <f aca="true">INDIRECT("'Ответы на форму (1)'!C"&amp;$N41,TRUE())</f>
        <v>#REF!</v>
      </c>
      <c r="D41" s="0" t="e">
        <f aca="true">INDIRECT("'Ответы на форму (1)'!D"&amp;$N41,TRUE())</f>
        <v>#REF!</v>
      </c>
      <c r="E41" s="0" t="n">
        <f aca="false">IFERROR(__xludf.dummyfunction("iferror(VALUE(REGEXEXTRACT(TEXT(INDIRECT(""'Ответы на форму (1)'!E""&amp;$N41,TRUE),""####""),""[0-9]+"")),IF(IFERROR(SEARCH(""моцро"",INDIRECT(""'Ответы на форму (1)'!E""&amp;$N41,TRUE)),-1) &gt;= 0,117,INDIRECT(""'Ответы на форму (1)'!E""&amp;$N41,TRUE)))"),149)</f>
        <v>149</v>
      </c>
      <c r="F41" s="0" t="e">
        <f aca="true">INDIRECT("'Ответы на форму (1)'!F"&amp;$N41,TRUE())</f>
        <v>#REF!</v>
      </c>
      <c r="G41" s="9" t="e">
        <f aca="true">IFERROR(MID(INDIRECT("'Ответы на форму (1)'!G"&amp;$N41,TRUE()),SEARCH("vk.com",INDIRECT("'Ответы на форму (1)'!G"&amp;$N41,TRUE())),LEN(INDIRECT("'Ответы на форму (1)'!G"&amp;$N41,TRUE()))),INDIRECT("'Ответы на форму (1)'!G"&amp;$N41,TRUE()))</f>
        <v>#REF!</v>
      </c>
      <c r="H41" s="0" t="e">
        <f aca="true">INDIRECT("'Ответы на форму (1)'!H"&amp;$N41,TRUE())</f>
        <v>#REF!</v>
      </c>
      <c r="I41" s="12" t="e">
        <f aca="true">INDIRECT("'Ответы на форму (1)'!I"&amp;$N41,TRUE())</f>
        <v>#REF!</v>
      </c>
      <c r="J41" s="12" t="e">
        <f aca="true">INDIRECT("'Ответы на форму (1)'!J"&amp;$N41,TRUE())</f>
        <v>#REF!</v>
      </c>
      <c r="K41" s="12" t="e">
        <f aca="true">INDIRECT("'Ответы на форму (1)'!K"&amp;$N41,TRUE())</f>
        <v>#REF!</v>
      </c>
      <c r="L41" s="12" t="e">
        <f aca="true">INDIRECT("'Ответы на форму (1)'!L"&amp;$N41,TRUE())</f>
        <v>#REF!</v>
      </c>
      <c r="M41" s="0" t="e">
        <f aca="false" t="array" ref="M41:M41">IF(B41 &lt;&gt; "",IF(COUNTIF(concat(TRIM('Список прошлого года'!$B$2:$B$200),TRIM('Список прошлого года'!$C$2:$C$200)),concat(TRIM(B41),TRIM(C41))) &gt; 0,"Да","Нет"),"")</f>
        <v>#REF!</v>
      </c>
      <c r="N41" s="1" t="n">
        <v>45</v>
      </c>
      <c r="O41" s="13" t="n">
        <v>2</v>
      </c>
      <c r="Q41" s="1" t="n">
        <f aca="false">TRUE()</f>
        <v>1</v>
      </c>
      <c r="R41" s="1" t="n">
        <f aca="false">TRUE()</f>
        <v>1</v>
      </c>
      <c r="S41" s="1" t="n">
        <f aca="false">TRUE()</f>
        <v>1</v>
      </c>
      <c r="T41" s="1" t="n">
        <f aca="false">TRUE()</f>
        <v>1</v>
      </c>
      <c r="U41" s="1" t="n">
        <f aca="false">FALSE()</f>
        <v>0</v>
      </c>
      <c r="V41" s="1" t="n">
        <f aca="false">TRUE()</f>
        <v>1</v>
      </c>
      <c r="W41" s="1" t="n">
        <f aca="false">TRUE()</f>
        <v>1</v>
      </c>
      <c r="X41" s="1" t="n">
        <f aca="false">TRUE()</f>
        <v>1</v>
      </c>
      <c r="Y41" s="1" t="n">
        <f aca="false">FALSE()</f>
        <v>0</v>
      </c>
      <c r="Z41" s="1" t="n">
        <f aca="false">TRUE()</f>
        <v>1</v>
      </c>
      <c r="AA41" s="1" t="n">
        <f aca="false">TRUE()</f>
        <v>1</v>
      </c>
      <c r="AB41" s="1" t="n">
        <f aca="false">TRUE()</f>
        <v>1</v>
      </c>
      <c r="AC41" s="1" t="n">
        <f aca="false">TRUE()</f>
        <v>1</v>
      </c>
      <c r="AD41" s="1" t="n">
        <f aca="false">TRUE()</f>
        <v>1</v>
      </c>
      <c r="AE41" s="1" t="n">
        <f aca="false">TRUE()</f>
        <v>1</v>
      </c>
      <c r="AF41" s="1" t="n">
        <f aca="false">TRUE()</f>
        <v>1</v>
      </c>
      <c r="AG41" s="1" t="n">
        <f aca="false">TRUE()</f>
        <v>1</v>
      </c>
      <c r="AH41" s="1" t="n">
        <f aca="false">TRUE()</f>
        <v>1</v>
      </c>
      <c r="AI41" s="1" t="n">
        <f aca="false">FALSE()</f>
        <v>0</v>
      </c>
      <c r="AJ41" s="1" t="n">
        <f aca="false">FALSE()</f>
        <v>0</v>
      </c>
      <c r="AK41" s="1" t="n">
        <f aca="false" t="array" ref="AK41:AK41">SUM(IF(Q41:U41,1,0))</f>
        <v>4</v>
      </c>
      <c r="AL41" s="14" t="n">
        <f aca="false" t="array" ref="AL41:AL41">SUM(IF(V41:Z41,1,0))</f>
        <v>4</v>
      </c>
      <c r="AM41" s="14" t="n">
        <f aca="false" t="array" ref="AM41:AM41">SUM(IF(AA41:AE41,1,0))</f>
        <v>5</v>
      </c>
      <c r="AN41" s="14" t="n">
        <f aca="false" t="array" ref="AN41:AN41">SUM(IF(AF41:AJ41,1,0))</f>
        <v>3</v>
      </c>
      <c r="AO41" s="1" t="n">
        <f aca="false">FALSE()</f>
        <v>0</v>
      </c>
      <c r="AP41" s="1" t="n">
        <f aca="false">IF(O41 = 2,COUNTIF(Q41:AJ41,"TRUE"),-1)</f>
        <v>16</v>
      </c>
    </row>
    <row r="42" customFormat="false" ht="15.75" hidden="false" customHeight="false" outlineLevel="0" collapsed="false">
      <c r="A42" s="15" t="e">
        <f aca="true">INDIRECT("'Ответы на форму (1)'!A"&amp;$N42,TRUE())</f>
        <v>#REF!</v>
      </c>
      <c r="B42" s="16" t="e">
        <f aca="true">INDIRECT("'Ответы на форму (1)'!B"&amp;$N42,TRUE())</f>
        <v>#REF!</v>
      </c>
      <c r="C42" s="16" t="e">
        <f aca="true">INDIRECT("'Ответы на форму (1)'!C"&amp;$N42,TRUE())</f>
        <v>#REF!</v>
      </c>
      <c r="D42" s="16" t="e">
        <f aca="true">INDIRECT("'Ответы на форму (1)'!D"&amp;$N42,TRUE())</f>
        <v>#REF!</v>
      </c>
      <c r="E42" s="16" t="n">
        <f aca="false">IFERROR(__xludf.dummyfunction("iferror(VALUE(REGEXEXTRACT(TEXT(INDIRECT(""'Ответы на форму (1)'!E""&amp;$N42,TRUE),""####""),""[0-9]+"")),IF(IFERROR(SEARCH(""моцро"",INDIRECT(""'Ответы на форму (1)'!E""&amp;$N42,TRUE)),-1) &gt;= 0,117,INDIRECT(""'Ответы на форму (1)'!E""&amp;$N42,TRUE)))"),139)</f>
        <v>139</v>
      </c>
      <c r="F42" s="16" t="e">
        <f aca="true">INDIRECT("'Ответы на форму (1)'!F"&amp;$N42,TRUE())</f>
        <v>#REF!</v>
      </c>
      <c r="G42" s="17" t="e">
        <f aca="true">IFERROR(MID(INDIRECT("'Ответы на форму (1)'!G"&amp;$N42,TRUE()),SEARCH("vk.com",INDIRECT("'Ответы на форму (1)'!G"&amp;$N42,TRUE())),LEN(INDIRECT("'Ответы на форму (1)'!G"&amp;$N42,TRUE()))),INDIRECT("'Ответы на форму (1)'!G"&amp;$N42,TRUE()))</f>
        <v>#REF!</v>
      </c>
      <c r="H42" s="16" t="e">
        <f aca="true">INDIRECT("'Ответы на форму (1)'!H"&amp;$N42,TRUE())</f>
        <v>#REF!</v>
      </c>
      <c r="I42" s="16" t="e">
        <f aca="true">INDIRECT("'Ответы на форму (1)'!I"&amp;$N42,TRUE())</f>
        <v>#REF!</v>
      </c>
      <c r="J42" s="16" t="e">
        <f aca="true">INDIRECT("'Ответы на форму (1)'!J"&amp;$N42,TRUE())</f>
        <v>#REF!</v>
      </c>
      <c r="K42" s="16" t="e">
        <f aca="true">INDIRECT("'Ответы на форму (1)'!K"&amp;$N42,TRUE())</f>
        <v>#REF!</v>
      </c>
      <c r="L42" s="16" t="e">
        <f aca="true">INDIRECT("'Ответы на форму (1)'!L"&amp;$N42,TRUE())</f>
        <v>#REF!</v>
      </c>
      <c r="M42" s="16" t="e">
        <f aca="false" t="array" ref="M42:M42">IF(B42 &lt;&gt; "",IF(COUNTIF(concat(TRIM('Список прошлого года'!$B$2:$B$200),TRIM('Список прошлого года'!$C$2:$C$200)),concat(TRIM(B42),TRIM(C42))) &gt; 0,"Да","Нет"),"")</f>
        <v>#REF!</v>
      </c>
      <c r="N42" s="19" t="n">
        <v>46</v>
      </c>
      <c r="O42" s="19" t="n">
        <v>2</v>
      </c>
      <c r="P42" s="16"/>
      <c r="Q42" s="19" t="n">
        <f aca="false">TRUE()</f>
        <v>1</v>
      </c>
      <c r="R42" s="19" t="n">
        <f aca="false">TRUE()</f>
        <v>1</v>
      </c>
      <c r="S42" s="19" t="n">
        <f aca="false">TRUE()</f>
        <v>1</v>
      </c>
      <c r="T42" s="19" t="n">
        <f aca="false">TRUE()</f>
        <v>1</v>
      </c>
      <c r="U42" s="19" t="n">
        <f aca="false">TRUE()</f>
        <v>1</v>
      </c>
      <c r="V42" s="19" t="n">
        <f aca="false">TRUE()</f>
        <v>1</v>
      </c>
      <c r="W42" s="19" t="n">
        <f aca="false">TRUE()</f>
        <v>1</v>
      </c>
      <c r="X42" s="19" t="n">
        <f aca="false">TRUE()</f>
        <v>1</v>
      </c>
      <c r="Y42" s="19" t="n">
        <f aca="false">TRUE()</f>
        <v>1</v>
      </c>
      <c r="Z42" s="19" t="n">
        <f aca="false">TRUE()</f>
        <v>1</v>
      </c>
      <c r="AA42" s="19" t="n">
        <f aca="false">TRUE()</f>
        <v>1</v>
      </c>
      <c r="AB42" s="19" t="n">
        <f aca="false">TRUE()</f>
        <v>1</v>
      </c>
      <c r="AC42" s="19" t="n">
        <f aca="false">FALSE()</f>
        <v>0</v>
      </c>
      <c r="AD42" s="19" t="n">
        <f aca="false">TRUE()</f>
        <v>1</v>
      </c>
      <c r="AE42" s="19" t="n">
        <f aca="false">TRUE()</f>
        <v>1</v>
      </c>
      <c r="AF42" s="19" t="n">
        <f aca="false">TRUE()</f>
        <v>1</v>
      </c>
      <c r="AG42" s="19" t="n">
        <f aca="false">TRUE()</f>
        <v>1</v>
      </c>
      <c r="AH42" s="19" t="n">
        <f aca="false">FALSE()</f>
        <v>0</v>
      </c>
      <c r="AI42" s="19" t="n">
        <f aca="false">TRUE()</f>
        <v>1</v>
      </c>
      <c r="AJ42" s="19" t="n">
        <f aca="false">TRUE()</f>
        <v>1</v>
      </c>
      <c r="AK42" s="19" t="n">
        <f aca="false" t="array" ref="AK42:AK42">SUM(IF(Q42:U42,1,0))</f>
        <v>5</v>
      </c>
      <c r="AL42" s="20" t="n">
        <f aca="false" t="array" ref="AL42:AL42">SUM(IF(V42:Z42,1,0))</f>
        <v>5</v>
      </c>
      <c r="AM42" s="20" t="n">
        <f aca="false" t="array" ref="AM42:AM42">SUM(IF(AA42:AE42,1,0))</f>
        <v>4</v>
      </c>
      <c r="AN42" s="20" t="n">
        <f aca="false" t="array" ref="AN42:AN42">SUM(IF(AF42:AJ42,1,0))</f>
        <v>4</v>
      </c>
      <c r="AO42" s="19" t="n">
        <f aca="false">FALSE()</f>
        <v>0</v>
      </c>
      <c r="AP42" s="1" t="n">
        <f aca="false">IF(O42 = 2,COUNTIF(Q42:AJ42,"TRUE"),-1)</f>
        <v>18</v>
      </c>
    </row>
    <row r="43" customFormat="false" ht="15.75" hidden="false" customHeight="false" outlineLevel="0" collapsed="false">
      <c r="A43" s="8" t="e">
        <f aca="true">INDIRECT("'Ответы на форму (1)'!A"&amp;$N43,TRUE())</f>
        <v>#REF!</v>
      </c>
      <c r="B43" s="0" t="e">
        <f aca="true">INDIRECT("'Ответы на форму (1)'!B"&amp;$N43,TRUE())</f>
        <v>#REF!</v>
      </c>
      <c r="C43" s="0" t="e">
        <f aca="true">INDIRECT("'Ответы на форму (1)'!C"&amp;$N43,TRUE())</f>
        <v>#REF!</v>
      </c>
      <c r="D43" s="0" t="e">
        <f aca="true">INDIRECT("'Ответы на форму (1)'!D"&amp;$N43,TRUE())</f>
        <v>#REF!</v>
      </c>
      <c r="E43" s="0" t="n">
        <f aca="false">IFERROR(__xludf.dummyfunction("iferror(VALUE(REGEXEXTRACT(TEXT(INDIRECT(""'Ответы на форму (1)'!E""&amp;$N43,TRUE),""####""),""[0-9]+"")),IF(IFERROR(SEARCH(""моцро"",INDIRECT(""'Ответы на форму (1)'!E""&amp;$N43,TRUE)),-1) &gt;= 0,117,INDIRECT(""'Ответы на форму (1)'!E""&amp;$N43,TRUE)))"),74)</f>
        <v>74</v>
      </c>
      <c r="F43" s="0" t="e">
        <f aca="true">INDIRECT("'Ответы на форму (1)'!F"&amp;$N43,TRUE())</f>
        <v>#REF!</v>
      </c>
      <c r="G43" s="9" t="e">
        <f aca="true">IFERROR(MID(INDIRECT("'Ответы на форму (1)'!G"&amp;$N43,TRUE()),SEARCH("vk.com",INDIRECT("'Ответы на форму (1)'!G"&amp;$N43,TRUE())),LEN(INDIRECT("'Ответы на форму (1)'!G"&amp;$N43,TRUE()))),INDIRECT("'Ответы на форму (1)'!G"&amp;$N43,TRUE()))</f>
        <v>#REF!</v>
      </c>
      <c r="H43" s="0" t="e">
        <f aca="true">INDIRECT("'Ответы на форму (1)'!H"&amp;$N43,TRUE())</f>
        <v>#REF!</v>
      </c>
      <c r="I43" s="12" t="e">
        <f aca="true">INDIRECT("'Ответы на форму (1)'!I"&amp;$N43,TRUE())</f>
        <v>#REF!</v>
      </c>
      <c r="J43" s="12" t="e">
        <f aca="true">INDIRECT("'Ответы на форму (1)'!J"&amp;$N43,TRUE())</f>
        <v>#REF!</v>
      </c>
      <c r="K43" s="12" t="e">
        <f aca="true">INDIRECT("'Ответы на форму (1)'!K"&amp;$N43,TRUE())</f>
        <v>#REF!</v>
      </c>
      <c r="L43" s="12" t="e">
        <f aca="true">INDIRECT("'Ответы на форму (1)'!L"&amp;$N43,TRUE())</f>
        <v>#REF!</v>
      </c>
      <c r="M43" s="0" t="e">
        <f aca="false" t="array" ref="M43:M43">IF(B43 &lt;&gt; "",IF(COUNTIF(concat(TRIM('Список прошлого года'!$B$2:$B$200),TRIM('Список прошлого года'!$C$2:$C$200)),concat(TRIM(B43),TRIM(C43))) &gt; 0,"Да","Нет"),"")</f>
        <v>#REF!</v>
      </c>
      <c r="N43" s="1" t="n">
        <v>47</v>
      </c>
      <c r="O43" s="13" t="n">
        <v>2</v>
      </c>
      <c r="Q43" s="1" t="n">
        <f aca="false">FALSE()</f>
        <v>0</v>
      </c>
      <c r="R43" s="1" t="n">
        <f aca="false">FALSE()</f>
        <v>0</v>
      </c>
      <c r="S43" s="1" t="n">
        <f aca="false">FALSE()</f>
        <v>0</v>
      </c>
      <c r="T43" s="1" t="n">
        <f aca="false">FALSE()</f>
        <v>0</v>
      </c>
      <c r="U43" s="1" t="n">
        <f aca="false">FALSE()</f>
        <v>0</v>
      </c>
      <c r="V43" s="1" t="n">
        <f aca="false">FALSE()</f>
        <v>0</v>
      </c>
      <c r="W43" s="1" t="n">
        <f aca="false">FALSE()</f>
        <v>0</v>
      </c>
      <c r="X43" s="1" t="n">
        <f aca="false">FALSE()</f>
        <v>0</v>
      </c>
      <c r="Y43" s="1" t="n">
        <f aca="false">FALSE()</f>
        <v>0</v>
      </c>
      <c r="Z43" s="1" t="n">
        <f aca="false">FALSE()</f>
        <v>0</v>
      </c>
      <c r="AA43" s="1" t="n">
        <f aca="false">FALSE()</f>
        <v>0</v>
      </c>
      <c r="AB43" s="1" t="n">
        <f aca="false">FALSE()</f>
        <v>0</v>
      </c>
      <c r="AC43" s="1" t="n">
        <f aca="false">FALSE()</f>
        <v>0</v>
      </c>
      <c r="AD43" s="1" t="n">
        <f aca="false">FALSE()</f>
        <v>0</v>
      </c>
      <c r="AE43" s="1" t="n">
        <f aca="false">FALSE()</f>
        <v>0</v>
      </c>
      <c r="AF43" s="1" t="n">
        <f aca="false">FALSE()</f>
        <v>0</v>
      </c>
      <c r="AG43" s="1" t="n">
        <f aca="false">FALSE()</f>
        <v>0</v>
      </c>
      <c r="AH43" s="1" t="n">
        <f aca="false">FALSE()</f>
        <v>0</v>
      </c>
      <c r="AI43" s="1" t="n">
        <f aca="false">FALSE()</f>
        <v>0</v>
      </c>
      <c r="AJ43" s="1" t="n">
        <f aca="false">FALSE()</f>
        <v>0</v>
      </c>
      <c r="AK43" s="1" t="n">
        <f aca="false" t="array" ref="AK43:AK43">SUM(IF(Q43:U43,1,0))</f>
        <v>0</v>
      </c>
      <c r="AL43" s="14" t="n">
        <f aca="false" t="array" ref="AL43:AL43">SUM(IF(V43:Z43,1,0))</f>
        <v>0</v>
      </c>
      <c r="AM43" s="14" t="n">
        <f aca="false" t="array" ref="AM43:AM43">SUM(IF(AA43:AE43,1,0))</f>
        <v>0</v>
      </c>
      <c r="AN43" s="14" t="n">
        <f aca="false" t="array" ref="AN43:AN43">SUM(IF(AF43:AJ43,1,0))</f>
        <v>0</v>
      </c>
      <c r="AO43" s="1" t="n">
        <f aca="false">FALSE()</f>
        <v>0</v>
      </c>
      <c r="AP43" s="1" t="n">
        <f aca="false">IF(O43 = 2,COUNTIF(Q43:AJ43,"TRUE"),-1)</f>
        <v>0</v>
      </c>
    </row>
    <row r="44" customFormat="false" ht="15.75" hidden="false" customHeight="false" outlineLevel="0" collapsed="false">
      <c r="A44" s="15" t="e">
        <f aca="true">INDIRECT("'Ответы на форму (1)'!A"&amp;$N44,TRUE())</f>
        <v>#REF!</v>
      </c>
      <c r="B44" s="16" t="e">
        <f aca="true">INDIRECT("'Ответы на форму (1)'!B"&amp;$N44,TRUE())</f>
        <v>#REF!</v>
      </c>
      <c r="C44" s="16" t="e">
        <f aca="true">INDIRECT("'Ответы на форму (1)'!C"&amp;$N44,TRUE())</f>
        <v>#REF!</v>
      </c>
      <c r="D44" s="16" t="e">
        <f aca="true">INDIRECT("'Ответы на форму (1)'!D"&amp;$N44,TRUE())</f>
        <v>#REF!</v>
      </c>
      <c r="E44" s="16" t="n">
        <f aca="false">IFERROR(__xludf.dummyfunction("iferror(VALUE(REGEXEXTRACT(TEXT(INDIRECT(""'Ответы на форму (1)'!E""&amp;$N44,TRUE),""####""),""[0-9]+"")),IF(IFERROR(SEARCH(""моцро"",INDIRECT(""'Ответы на форму (1)'!E""&amp;$N44,TRUE)),-1) &gt;= 0,117,INDIRECT(""'Ответы на форму (1)'!E""&amp;$N44,TRUE)))"),117)</f>
        <v>117</v>
      </c>
      <c r="F44" s="16" t="e">
        <f aca="true">INDIRECT("'Ответы на форму (1)'!F"&amp;$N44,TRUE())</f>
        <v>#REF!</v>
      </c>
      <c r="G44" s="17" t="e">
        <f aca="true">IFERROR(MID(INDIRECT("'Ответы на форму (1)'!G"&amp;$N44,TRUE()),SEARCH("vk.com",INDIRECT("'Ответы на форму (1)'!G"&amp;$N44,TRUE())),LEN(INDIRECT("'Ответы на форму (1)'!G"&amp;$N44,TRUE()))),INDIRECT("'Ответы на форму (1)'!G"&amp;$N44,TRUE()))</f>
        <v>#REF!</v>
      </c>
      <c r="H44" s="16" t="e">
        <f aca="true">INDIRECT("'Ответы на форму (1)'!H"&amp;$N44,TRUE())</f>
        <v>#REF!</v>
      </c>
      <c r="I44" s="16" t="e">
        <f aca="true">INDIRECT("'Ответы на форму (1)'!I"&amp;$N44,TRUE())</f>
        <v>#REF!</v>
      </c>
      <c r="J44" s="16" t="e">
        <f aca="true">INDIRECT("'Ответы на форму (1)'!J"&amp;$N44,TRUE())</f>
        <v>#REF!</v>
      </c>
      <c r="K44" s="16" t="e">
        <f aca="true">INDIRECT("'Ответы на форму (1)'!K"&amp;$N44,TRUE())</f>
        <v>#REF!</v>
      </c>
      <c r="L44" s="16" t="e">
        <f aca="true">INDIRECT("'Ответы на форму (1)'!L"&amp;$N44,TRUE())</f>
        <v>#REF!</v>
      </c>
      <c r="M44" s="16" t="e">
        <f aca="false" t="array" ref="M44:M44">IF(B44 &lt;&gt; "",IF(COUNTIF(concat(TRIM('Список прошлого года'!$B$2:$B$200),TRIM('Список прошлого года'!$C$2:$C$200)),concat(TRIM(B44),TRIM(C44))) &gt; 0,"Да","Нет"),"")</f>
        <v>#REF!</v>
      </c>
      <c r="N44" s="19" t="n">
        <v>48</v>
      </c>
      <c r="O44" s="19" t="n">
        <v>2</v>
      </c>
      <c r="P44" s="16"/>
      <c r="Q44" s="19" t="n">
        <f aca="false">TRUE()</f>
        <v>1</v>
      </c>
      <c r="R44" s="19" t="n">
        <f aca="false">TRUE()</f>
        <v>1</v>
      </c>
      <c r="S44" s="19" t="n">
        <f aca="false">TRUE()</f>
        <v>1</v>
      </c>
      <c r="T44" s="19" t="n">
        <f aca="false">FALSE()</f>
        <v>0</v>
      </c>
      <c r="U44" s="19" t="n">
        <f aca="false">FALSE()</f>
        <v>0</v>
      </c>
      <c r="V44" s="19" t="n">
        <f aca="false">TRUE()</f>
        <v>1</v>
      </c>
      <c r="W44" s="19" t="n">
        <f aca="false">TRUE()</f>
        <v>1</v>
      </c>
      <c r="X44" s="19" t="n">
        <f aca="false">TRUE()</f>
        <v>1</v>
      </c>
      <c r="Y44" s="19" t="n">
        <f aca="false">TRUE()</f>
        <v>1</v>
      </c>
      <c r="Z44" s="19" t="n">
        <f aca="false">FALSE()</f>
        <v>0</v>
      </c>
      <c r="AA44" s="19" t="n">
        <f aca="false">TRUE()</f>
        <v>1</v>
      </c>
      <c r="AB44" s="19" t="n">
        <f aca="false">TRUE()</f>
        <v>1</v>
      </c>
      <c r="AC44" s="19" t="n">
        <f aca="false">TRUE()</f>
        <v>1</v>
      </c>
      <c r="AD44" s="19" t="n">
        <f aca="false">FALSE()</f>
        <v>0</v>
      </c>
      <c r="AE44" s="19" t="n">
        <f aca="false">FALSE()</f>
        <v>0</v>
      </c>
      <c r="AF44" s="19" t="n">
        <f aca="false">TRUE()</f>
        <v>1</v>
      </c>
      <c r="AG44" s="19" t="n">
        <f aca="false">TRUE()</f>
        <v>1</v>
      </c>
      <c r="AH44" s="19" t="n">
        <f aca="false">TRUE()</f>
        <v>1</v>
      </c>
      <c r="AI44" s="19" t="n">
        <f aca="false">TRUE()</f>
        <v>1</v>
      </c>
      <c r="AJ44" s="19" t="n">
        <f aca="false">TRUE()</f>
        <v>1</v>
      </c>
      <c r="AK44" s="19" t="n">
        <f aca="false" t="array" ref="AK44:AK44">SUM(IF(Q44:U44,1,0))</f>
        <v>3</v>
      </c>
      <c r="AL44" s="20" t="n">
        <f aca="false" t="array" ref="AL44:AL44">SUM(IF(V44:Z44,1,0))</f>
        <v>4</v>
      </c>
      <c r="AM44" s="20" t="n">
        <f aca="false" t="array" ref="AM44:AM44">SUM(IF(AA44:AE44,1,0))</f>
        <v>3</v>
      </c>
      <c r="AN44" s="20" t="n">
        <f aca="false" t="array" ref="AN44:AN44">SUM(IF(AF44:AJ44,1,0))</f>
        <v>5</v>
      </c>
      <c r="AO44" s="19" t="n">
        <f aca="false">TRUE()</f>
        <v>1</v>
      </c>
      <c r="AP44" s="1" t="n">
        <f aca="false">IF(O44 = 2,COUNTIF(Q44:AJ44,"TRUE"),-1)</f>
        <v>15</v>
      </c>
    </row>
    <row r="45" customFormat="false" ht="15.75" hidden="false" customHeight="false" outlineLevel="0" collapsed="false">
      <c r="A45" s="15" t="e">
        <f aca="true">INDIRECT("'Ответы на форму (1)'!A"&amp;$N45,TRUE())</f>
        <v>#REF!</v>
      </c>
      <c r="B45" s="16" t="e">
        <f aca="true">INDIRECT("'Ответы на форму (1)'!B"&amp;$N45,TRUE())</f>
        <v>#REF!</v>
      </c>
      <c r="C45" s="16" t="e">
        <f aca="true">INDIRECT("'Ответы на форму (1)'!C"&amp;$N45,TRUE())</f>
        <v>#REF!</v>
      </c>
      <c r="D45" s="16" t="e">
        <f aca="true">INDIRECT("'Ответы на форму (1)'!D"&amp;$N45,TRUE())</f>
        <v>#REF!</v>
      </c>
      <c r="E45" s="16" t="n">
        <f aca="false">IFERROR(__xludf.dummyfunction("iferror(VALUE(REGEXEXTRACT(TEXT(INDIRECT(""'Ответы на форму (1)'!E""&amp;$N45,TRUE),""####""),""[0-9]+"")),IF(IFERROR(SEARCH(""моцро"",INDIRECT(""'Ответы на форму (1)'!E""&amp;$N45,TRUE)),-1) &gt;= 0,117,INDIRECT(""'Ответы на форму (1)'!E""&amp;$N45,TRUE)))"),117)</f>
        <v>117</v>
      </c>
      <c r="F45" s="16" t="e">
        <f aca="true">INDIRECT("'Ответы на форму (1)'!F"&amp;$N45,TRUE())</f>
        <v>#REF!</v>
      </c>
      <c r="G45" s="17" t="e">
        <f aca="true">IFERROR(MID(INDIRECT("'Ответы на форму (1)'!G"&amp;$N45,TRUE()),SEARCH("vk.com",INDIRECT("'Ответы на форму (1)'!G"&amp;$N45,TRUE())),LEN(INDIRECT("'Ответы на форму (1)'!G"&amp;$N45,TRUE()))),INDIRECT("'Ответы на форму (1)'!G"&amp;$N45,TRUE()))</f>
        <v>#REF!</v>
      </c>
      <c r="H45" s="16" t="e">
        <f aca="true">INDIRECT("'Ответы на форму (1)'!H"&amp;$N45,TRUE())</f>
        <v>#REF!</v>
      </c>
      <c r="I45" s="16" t="e">
        <f aca="true">INDIRECT("'Ответы на форму (1)'!I"&amp;$N45,TRUE())</f>
        <v>#REF!</v>
      </c>
      <c r="J45" s="16" t="e">
        <f aca="true">INDIRECT("'Ответы на форму (1)'!J"&amp;$N45,TRUE())</f>
        <v>#REF!</v>
      </c>
      <c r="K45" s="16" t="e">
        <f aca="true">INDIRECT("'Ответы на форму (1)'!K"&amp;$N45,TRUE())</f>
        <v>#REF!</v>
      </c>
      <c r="L45" s="16" t="e">
        <f aca="true">INDIRECT("'Ответы на форму (1)'!L"&amp;$N45,TRUE())</f>
        <v>#REF!</v>
      </c>
      <c r="M45" s="16" t="e">
        <f aca="false" t="array" ref="M45:M45">IF(B45 &lt;&gt; "",IF(COUNTIF(concat(TRIM('Список прошлого года'!$B$2:$B$200),TRIM('Список прошлого года'!$C$2:$C$200)),concat(TRIM(B45),TRIM(C45))) &gt; 0,"Да","Нет"),"")</f>
        <v>#REF!</v>
      </c>
      <c r="N45" s="19" t="n">
        <v>49</v>
      </c>
      <c r="O45" s="19" t="n">
        <v>2</v>
      </c>
      <c r="P45" s="16"/>
      <c r="Q45" s="19" t="n">
        <f aca="false">TRUE()</f>
        <v>1</v>
      </c>
      <c r="R45" s="19" t="n">
        <f aca="false">TRUE()</f>
        <v>1</v>
      </c>
      <c r="S45" s="19" t="n">
        <f aca="false">TRUE()</f>
        <v>1</v>
      </c>
      <c r="T45" s="19" t="n">
        <f aca="false">TRUE()</f>
        <v>1</v>
      </c>
      <c r="U45" s="19" t="n">
        <f aca="false">TRUE()</f>
        <v>1</v>
      </c>
      <c r="V45" s="19" t="n">
        <f aca="false">TRUE()</f>
        <v>1</v>
      </c>
      <c r="W45" s="19" t="n">
        <f aca="false">TRUE()</f>
        <v>1</v>
      </c>
      <c r="X45" s="19" t="n">
        <f aca="false">TRUE()</f>
        <v>1</v>
      </c>
      <c r="Y45" s="19" t="n">
        <f aca="false">TRUE()</f>
        <v>1</v>
      </c>
      <c r="Z45" s="19" t="n">
        <f aca="false">TRUE()</f>
        <v>1</v>
      </c>
      <c r="AA45" s="19" t="n">
        <f aca="false">FALSE()</f>
        <v>0</v>
      </c>
      <c r="AB45" s="19" t="n">
        <f aca="false">FALSE()</f>
        <v>0</v>
      </c>
      <c r="AC45" s="19" t="n">
        <f aca="false">FALSE()</f>
        <v>0</v>
      </c>
      <c r="AD45" s="19" t="n">
        <f aca="false">FALSE()</f>
        <v>0</v>
      </c>
      <c r="AE45" s="19" t="n">
        <f aca="false">FALSE()</f>
        <v>0</v>
      </c>
      <c r="AF45" s="19" t="n">
        <f aca="false">FALSE()</f>
        <v>0</v>
      </c>
      <c r="AG45" s="19" t="n">
        <f aca="false">FALSE()</f>
        <v>0</v>
      </c>
      <c r="AH45" s="19" t="n">
        <f aca="false">FALSE()</f>
        <v>0</v>
      </c>
      <c r="AI45" s="19" t="n">
        <f aca="false">FALSE()</f>
        <v>0</v>
      </c>
      <c r="AJ45" s="19" t="n">
        <f aca="false">FALSE()</f>
        <v>0</v>
      </c>
      <c r="AK45" s="19" t="n">
        <f aca="false" t="array" ref="AK45:AK45">SUM(IF(Q45:U45,1,0))</f>
        <v>5</v>
      </c>
      <c r="AL45" s="20" t="n">
        <f aca="false" t="array" ref="AL45:AL45">SUM(IF(V45:Z45,1,0))</f>
        <v>5</v>
      </c>
      <c r="AM45" s="20" t="n">
        <f aca="false" t="array" ref="AM45:AM45">SUM(IF(AA45:AE45,1,0))</f>
        <v>0</v>
      </c>
      <c r="AN45" s="20" t="n">
        <f aca="false" t="array" ref="AN45:AN45">SUM(IF(AF45:AJ45,1,0))</f>
        <v>0</v>
      </c>
      <c r="AO45" s="19" t="n">
        <f aca="false">TRUE()</f>
        <v>1</v>
      </c>
      <c r="AP45" s="1" t="n">
        <f aca="false">IF(O45 = 2,COUNTIF(Q45:AJ45,"TRUE"),-1)</f>
        <v>10</v>
      </c>
    </row>
    <row r="46" customFormat="false" ht="15.75" hidden="false" customHeight="false" outlineLevel="0" collapsed="false">
      <c r="A46" s="8" t="e">
        <f aca="true">INDIRECT("'Ответы на форму (1)'!A"&amp;$N46,TRUE())</f>
        <v>#REF!</v>
      </c>
      <c r="B46" s="0" t="e">
        <f aca="true">INDIRECT("'Ответы на форму (1)'!B"&amp;$N46,TRUE())</f>
        <v>#REF!</v>
      </c>
      <c r="C46" s="0" t="e">
        <f aca="true">INDIRECT("'Ответы на форму (1)'!C"&amp;$N46,TRUE())</f>
        <v>#REF!</v>
      </c>
      <c r="D46" s="0" t="e">
        <f aca="true">INDIRECT("'Ответы на форму (1)'!D"&amp;$N46,TRUE())</f>
        <v>#REF!</v>
      </c>
      <c r="E46" s="0" t="n">
        <f aca="false">IFERROR(__xludf.dummyfunction("iferror(VALUE(REGEXEXTRACT(TEXT(INDIRECT(""'Ответы на форму (1)'!E""&amp;$N46,TRUE),""####""),""[0-9]+"")),IF(IFERROR(SEARCH(""моцро"",INDIRECT(""'Ответы на форму (1)'!E""&amp;$N46,TRUE)),-1) &gt;= 0,117,INDIRECT(""'Ответы на форму (1)'!E""&amp;$N46,TRUE)))"),149)</f>
        <v>149</v>
      </c>
      <c r="F46" s="0" t="e">
        <f aca="true">INDIRECT("'Ответы на форму (1)'!F"&amp;$N46,TRUE())</f>
        <v>#REF!</v>
      </c>
      <c r="G46" s="9" t="e">
        <f aca="true">IFERROR(MID(INDIRECT("'Ответы на форму (1)'!G"&amp;$N46,TRUE()),SEARCH("vk.com",INDIRECT("'Ответы на форму (1)'!G"&amp;$N46,TRUE())),LEN(INDIRECT("'Ответы на форму (1)'!G"&amp;$N46,TRUE()))),INDIRECT("'Ответы на форму (1)'!G"&amp;$N46,TRUE()))</f>
        <v>#REF!</v>
      </c>
      <c r="H46" s="0" t="e">
        <f aca="true">INDIRECT("'Ответы на форму (1)'!H"&amp;$N46,TRUE())</f>
        <v>#REF!</v>
      </c>
      <c r="I46" s="12" t="e">
        <f aca="true">INDIRECT("'Ответы на форму (1)'!I"&amp;$N46,TRUE())</f>
        <v>#REF!</v>
      </c>
      <c r="J46" s="12" t="e">
        <f aca="true">INDIRECT("'Ответы на форму (1)'!J"&amp;$N46,TRUE())</f>
        <v>#REF!</v>
      </c>
      <c r="K46" s="21" t="e">
        <f aca="true">INDIRECT("'Ответы на форму (1)'!K"&amp;$N46,TRUE())</f>
        <v>#REF!</v>
      </c>
      <c r="L46" s="12" t="e">
        <f aca="true">INDIRECT("'Ответы на форму (1)'!L"&amp;$N46,TRUE())</f>
        <v>#REF!</v>
      </c>
      <c r="M46" s="0" t="e">
        <f aca="false" t="array" ref="M46:M46">IF(B46 &lt;&gt; "",IF(COUNTIF(concat(TRIM('Список прошлого года'!$B$2:$B$200),TRIM('Список прошлого года'!$C$2:$C$200)),concat(TRIM(B46),TRIM(C46))) &gt; 0,"Да","Нет"),"")</f>
        <v>#REF!</v>
      </c>
      <c r="N46" s="1" t="n">
        <v>50</v>
      </c>
      <c r="O46" s="13" t="n">
        <v>2</v>
      </c>
      <c r="Q46" s="1" t="n">
        <f aca="false">TRUE()</f>
        <v>1</v>
      </c>
      <c r="R46" s="1" t="n">
        <f aca="false">FALSE()</f>
        <v>0</v>
      </c>
      <c r="S46" s="1" t="n">
        <f aca="false">TRUE()</f>
        <v>1</v>
      </c>
      <c r="T46" s="1" t="n">
        <f aca="false">TRUE()</f>
        <v>1</v>
      </c>
      <c r="U46" s="1" t="n">
        <f aca="false">TRUE()</f>
        <v>1</v>
      </c>
      <c r="V46" s="1" t="n">
        <f aca="false">TRUE()</f>
        <v>1</v>
      </c>
      <c r="W46" s="1" t="n">
        <f aca="false">FALSE()</f>
        <v>0</v>
      </c>
      <c r="X46" s="1" t="n">
        <f aca="false">FALSE()</f>
        <v>0</v>
      </c>
      <c r="Y46" s="1" t="n">
        <f aca="false">TRUE()</f>
        <v>1</v>
      </c>
      <c r="Z46" s="1" t="n">
        <f aca="false">TRUE()</f>
        <v>1</v>
      </c>
      <c r="AA46" s="1" t="n">
        <f aca="false">TRUE()</f>
        <v>1</v>
      </c>
      <c r="AB46" s="1" t="n">
        <f aca="false">TRUE()</f>
        <v>1</v>
      </c>
      <c r="AC46" s="1" t="n">
        <f aca="false">TRUE()</f>
        <v>1</v>
      </c>
      <c r="AD46" s="1" t="n">
        <f aca="false">TRUE()</f>
        <v>1</v>
      </c>
      <c r="AE46" s="1" t="n">
        <f aca="false">TRUE()</f>
        <v>1</v>
      </c>
      <c r="AF46" s="1" t="n">
        <f aca="false">TRUE()</f>
        <v>1</v>
      </c>
      <c r="AG46" s="1" t="n">
        <f aca="false">TRUE()</f>
        <v>1</v>
      </c>
      <c r="AH46" s="1" t="n">
        <f aca="false">FALSE()</f>
        <v>0</v>
      </c>
      <c r="AI46" s="1" t="n">
        <f aca="false">FALSE()</f>
        <v>0</v>
      </c>
      <c r="AJ46" s="1" t="n">
        <f aca="false">FALSE()</f>
        <v>0</v>
      </c>
      <c r="AK46" s="1" t="n">
        <f aca="false" t="array" ref="AK46:AK46">SUM(IF(Q46:U46,1,0))</f>
        <v>4</v>
      </c>
      <c r="AL46" s="14" t="n">
        <f aca="false" t="array" ref="AL46:AL46">SUM(IF(V46:Z46,1,0))</f>
        <v>3</v>
      </c>
      <c r="AM46" s="14" t="n">
        <f aca="false" t="array" ref="AM46:AM46">SUM(IF(AA46:AE46,1,0))</f>
        <v>5</v>
      </c>
      <c r="AN46" s="14" t="n">
        <f aca="false" t="array" ref="AN46:AN46">SUM(IF(AF46:AJ46,1,0))</f>
        <v>2</v>
      </c>
      <c r="AO46" s="1" t="n">
        <f aca="false">FALSE()</f>
        <v>0</v>
      </c>
      <c r="AP46" s="1" t="n">
        <f aca="false">IF(O46 = 2,COUNTIF(Q46:AJ46,"TRUE"),-1)</f>
        <v>14</v>
      </c>
    </row>
    <row r="47" customFormat="false" ht="15.75" hidden="false" customHeight="false" outlineLevel="0" collapsed="false">
      <c r="A47" s="15" t="e">
        <f aca="true">INDIRECT("'Ответы на форму (1)'!A"&amp;$N47,TRUE())</f>
        <v>#REF!</v>
      </c>
      <c r="B47" s="16" t="e">
        <f aca="true">INDIRECT("'Ответы на форму (1)'!B"&amp;$N47,TRUE())</f>
        <v>#REF!</v>
      </c>
      <c r="C47" s="16" t="e">
        <f aca="true">INDIRECT("'Ответы на форму (1)'!C"&amp;$N47,TRUE())</f>
        <v>#REF!</v>
      </c>
      <c r="D47" s="16" t="e">
        <f aca="true">INDIRECT("'Ответы на форму (1)'!D"&amp;$N47,TRUE())</f>
        <v>#REF!</v>
      </c>
      <c r="E47" s="16" t="n">
        <f aca="false">IFERROR(__xludf.dummyfunction("iferror(VALUE(REGEXEXTRACT(TEXT(INDIRECT(""'Ответы на форму (1)'!E""&amp;$N47,TRUE),""####""),""[0-9]+"")),IF(IFERROR(SEARCH(""моцро"",INDIRECT(""'Ответы на форму (1)'!E""&amp;$N47,TRUE)),-1) &gt;= 0,117,INDIRECT(""'Ответы на форму (1)'!E""&amp;$N47,TRUE)))"),139)</f>
        <v>139</v>
      </c>
      <c r="F47" s="16" t="e">
        <f aca="true">INDIRECT("'Ответы на форму (1)'!F"&amp;$N47,TRUE())</f>
        <v>#REF!</v>
      </c>
      <c r="G47" s="17" t="e">
        <f aca="true">IFERROR(MID(INDIRECT("'Ответы на форму (1)'!G"&amp;$N47,TRUE()),SEARCH("vk.com",INDIRECT("'Ответы на форму (1)'!G"&amp;$N47,TRUE())),LEN(INDIRECT("'Ответы на форму (1)'!G"&amp;$N47,TRUE()))),INDIRECT("'Ответы на форму (1)'!G"&amp;$N47,TRUE()))</f>
        <v>#REF!</v>
      </c>
      <c r="H47" s="16" t="e">
        <f aca="true">INDIRECT("'Ответы на форму (1)'!H"&amp;$N47,TRUE())</f>
        <v>#REF!</v>
      </c>
      <c r="I47" s="16" t="e">
        <f aca="true">INDIRECT("'Ответы на форму (1)'!I"&amp;$N47,TRUE())</f>
        <v>#REF!</v>
      </c>
      <c r="J47" s="16" t="e">
        <f aca="true">INDIRECT("'Ответы на форму (1)'!J"&amp;$N47,TRUE())</f>
        <v>#REF!</v>
      </c>
      <c r="K47" s="16" t="e">
        <f aca="true">INDIRECT("'Ответы на форму (1)'!K"&amp;$N47,TRUE())</f>
        <v>#REF!</v>
      </c>
      <c r="L47" s="16" t="e">
        <f aca="true">INDIRECT("'Ответы на форму (1)'!L"&amp;$N47,TRUE())</f>
        <v>#REF!</v>
      </c>
      <c r="M47" s="16" t="e">
        <f aca="false" t="array" ref="M47:M47">IF(B47 &lt;&gt; "",IF(COUNTIF(concat(TRIM('Список прошлого года'!$B$2:$B$200),TRIM('Список прошлого года'!$C$2:$C$200)),concat(TRIM(B47),TRIM(C47))) &gt; 0,"Да","Нет"),"")</f>
        <v>#REF!</v>
      </c>
      <c r="N47" s="19" t="n">
        <v>51</v>
      </c>
      <c r="O47" s="19" t="n">
        <v>2</v>
      </c>
      <c r="P47" s="16"/>
      <c r="Q47" s="19" t="n">
        <f aca="false">TRUE()</f>
        <v>1</v>
      </c>
      <c r="R47" s="19" t="n">
        <f aca="false">TRUE()</f>
        <v>1</v>
      </c>
      <c r="S47" s="19" t="n">
        <f aca="false">TRUE()</f>
        <v>1</v>
      </c>
      <c r="T47" s="19" t="n">
        <f aca="false">TRUE()</f>
        <v>1</v>
      </c>
      <c r="U47" s="19" t="n">
        <f aca="false">TRUE()</f>
        <v>1</v>
      </c>
      <c r="V47" s="19" t="n">
        <f aca="false">TRUE()</f>
        <v>1</v>
      </c>
      <c r="W47" s="19" t="n">
        <f aca="false">TRUE()</f>
        <v>1</v>
      </c>
      <c r="X47" s="19" t="n">
        <f aca="false">TRUE()</f>
        <v>1</v>
      </c>
      <c r="Y47" s="19" t="n">
        <f aca="false">TRUE()</f>
        <v>1</v>
      </c>
      <c r="Z47" s="19" t="n">
        <f aca="false">TRUE()</f>
        <v>1</v>
      </c>
      <c r="AA47" s="19" t="n">
        <f aca="false">TRUE()</f>
        <v>1</v>
      </c>
      <c r="AB47" s="19" t="n">
        <f aca="false">TRUE()</f>
        <v>1</v>
      </c>
      <c r="AC47" s="19" t="n">
        <f aca="false">TRUE()</f>
        <v>1</v>
      </c>
      <c r="AD47" s="19" t="n">
        <f aca="false">TRUE()</f>
        <v>1</v>
      </c>
      <c r="AE47" s="19" t="n">
        <f aca="false">TRUE()</f>
        <v>1</v>
      </c>
      <c r="AF47" s="19" t="n">
        <f aca="false">TRUE()</f>
        <v>1</v>
      </c>
      <c r="AG47" s="19" t="n">
        <f aca="false">TRUE()</f>
        <v>1</v>
      </c>
      <c r="AH47" s="19" t="n">
        <f aca="false">TRUE()</f>
        <v>1</v>
      </c>
      <c r="AI47" s="19" t="n">
        <f aca="false">TRUE()</f>
        <v>1</v>
      </c>
      <c r="AJ47" s="19" t="n">
        <f aca="false">TRUE()</f>
        <v>1</v>
      </c>
      <c r="AK47" s="19" t="n">
        <f aca="false" t="array" ref="AK47:AK47">SUM(IF(Q47:U47,1,0))</f>
        <v>5</v>
      </c>
      <c r="AL47" s="20" t="n">
        <f aca="false" t="array" ref="AL47:AL47">SUM(IF(V47:Z47,1,0))</f>
        <v>5</v>
      </c>
      <c r="AM47" s="20" t="n">
        <f aca="false" t="array" ref="AM47:AM47">SUM(IF(AA47:AE47,1,0))</f>
        <v>5</v>
      </c>
      <c r="AN47" s="20" t="n">
        <f aca="false" t="array" ref="AN47:AN47">SUM(IF(AF47:AJ47,1,0))</f>
        <v>5</v>
      </c>
      <c r="AO47" s="19" t="n">
        <f aca="false">TRUE()</f>
        <v>1</v>
      </c>
      <c r="AP47" s="1" t="n">
        <f aca="false">IF(O47 = 2,COUNTIF(Q47:AJ47,"TRUE"),-1)</f>
        <v>20</v>
      </c>
    </row>
    <row r="48" customFormat="false" ht="15.75" hidden="false" customHeight="false" outlineLevel="0" collapsed="false">
      <c r="A48" s="8" t="e">
        <f aca="true">INDIRECT("'Ответы на форму (1)'!A"&amp;$N48,TRUE())</f>
        <v>#REF!</v>
      </c>
      <c r="B48" s="0" t="e">
        <f aca="true">INDIRECT("'Ответы на форму (1)'!B"&amp;$N48,TRUE())</f>
        <v>#REF!</v>
      </c>
      <c r="C48" s="0" t="e">
        <f aca="true">INDIRECT("'Ответы на форму (1)'!C"&amp;$N48,TRUE())</f>
        <v>#REF!</v>
      </c>
      <c r="D48" s="0" t="e">
        <f aca="true">INDIRECT("'Ответы на форму (1)'!D"&amp;$N48,TRUE())</f>
        <v>#REF!</v>
      </c>
      <c r="E48" s="0" t="n">
        <f aca="false">IFERROR(__xludf.dummyfunction("iferror(VALUE(REGEXEXTRACT(TEXT(INDIRECT(""'Ответы на форму (1)'!E""&amp;$N48,TRUE),""####""),""[0-9]+"")),IF(IFERROR(SEARCH(""моцро"",INDIRECT(""'Ответы на форму (1)'!E""&amp;$N48,TRUE)),-1) &gt;= 0,117,INDIRECT(""'Ответы на форму (1)'!E""&amp;$N48,TRUE)))"),139)</f>
        <v>139</v>
      </c>
      <c r="F48" s="0" t="e">
        <f aca="true">INDIRECT("'Ответы на форму (1)'!F"&amp;$N48,TRUE())</f>
        <v>#REF!</v>
      </c>
      <c r="G48" s="9" t="e">
        <f aca="true">IFERROR(MID(INDIRECT("'Ответы на форму (1)'!G"&amp;$N48,TRUE()),SEARCH("vk.com",INDIRECT("'Ответы на форму (1)'!G"&amp;$N48,TRUE())),LEN(INDIRECT("'Ответы на форму (1)'!G"&amp;$N48,TRUE()))),INDIRECT("'Ответы на форму (1)'!G"&amp;$N48,TRUE()))</f>
        <v>#REF!</v>
      </c>
      <c r="H48" s="0" t="e">
        <f aca="true">INDIRECT("'Ответы на форму (1)'!H"&amp;$N48,TRUE())</f>
        <v>#REF!</v>
      </c>
      <c r="I48" s="12" t="e">
        <f aca="true">INDIRECT("'Ответы на форму (1)'!I"&amp;$N48,TRUE())</f>
        <v>#REF!</v>
      </c>
      <c r="J48" s="12" t="e">
        <f aca="true">INDIRECT("'Ответы на форму (1)'!J"&amp;$N48,TRUE())</f>
        <v>#REF!</v>
      </c>
      <c r="K48" s="12" t="e">
        <f aca="true">INDIRECT("'Ответы на форму (1)'!K"&amp;$N48,TRUE())</f>
        <v>#REF!</v>
      </c>
      <c r="L48" s="12" t="e">
        <f aca="true">INDIRECT("'Ответы на форму (1)'!L"&amp;$N48,TRUE())</f>
        <v>#REF!</v>
      </c>
      <c r="M48" s="0" t="e">
        <f aca="false" t="array" ref="M48:M48">IF(B48 &lt;&gt; "",IF(COUNTIF(concat(TRIM('Список прошлого года'!$B$2:$B$200),TRIM('Список прошлого года'!$C$2:$C$200)),concat(TRIM(B48),TRIM(C48))) &gt; 0,"Да","Нет"),"")</f>
        <v>#REF!</v>
      </c>
      <c r="N48" s="1" t="n">
        <v>52</v>
      </c>
      <c r="O48" s="13" t="n">
        <v>2</v>
      </c>
      <c r="Q48" s="1" t="n">
        <f aca="false">TRUE()</f>
        <v>1</v>
      </c>
      <c r="R48" s="1" t="n">
        <f aca="false">TRUE()</f>
        <v>1</v>
      </c>
      <c r="S48" s="1" t="n">
        <f aca="false">TRUE()</f>
        <v>1</v>
      </c>
      <c r="T48" s="1" t="n">
        <f aca="false">TRUE()</f>
        <v>1</v>
      </c>
      <c r="U48" s="1" t="n">
        <f aca="false">TRUE()</f>
        <v>1</v>
      </c>
      <c r="V48" s="1" t="n">
        <f aca="false">TRUE()</f>
        <v>1</v>
      </c>
      <c r="W48" s="1" t="n">
        <f aca="false">TRUE()</f>
        <v>1</v>
      </c>
      <c r="X48" s="1" t="n">
        <f aca="false">TRUE()</f>
        <v>1</v>
      </c>
      <c r="Y48" s="1" t="n">
        <f aca="false">TRUE()</f>
        <v>1</v>
      </c>
      <c r="Z48" s="1" t="n">
        <f aca="false">TRUE()</f>
        <v>1</v>
      </c>
      <c r="AA48" s="1" t="n">
        <f aca="false">TRUE()</f>
        <v>1</v>
      </c>
      <c r="AB48" s="1" t="n">
        <f aca="false">TRUE()</f>
        <v>1</v>
      </c>
      <c r="AC48" s="1" t="n">
        <f aca="false">TRUE()</f>
        <v>1</v>
      </c>
      <c r="AD48" s="1" t="n">
        <f aca="false">TRUE()</f>
        <v>1</v>
      </c>
      <c r="AE48" s="1" t="n">
        <f aca="false">TRUE()</f>
        <v>1</v>
      </c>
      <c r="AF48" s="1" t="n">
        <f aca="false">TRUE()</f>
        <v>1</v>
      </c>
      <c r="AG48" s="1" t="n">
        <f aca="false">TRUE()</f>
        <v>1</v>
      </c>
      <c r="AH48" s="1" t="n">
        <f aca="false">TRUE()</f>
        <v>1</v>
      </c>
      <c r="AI48" s="1" t="n">
        <f aca="false">FALSE()</f>
        <v>0</v>
      </c>
      <c r="AJ48" s="1" t="n">
        <f aca="false">FALSE()</f>
        <v>0</v>
      </c>
      <c r="AK48" s="1" t="n">
        <f aca="false" t="array" ref="AK48:AK48">SUM(IF(Q48:U48,1,0))</f>
        <v>5</v>
      </c>
      <c r="AL48" s="14" t="n">
        <f aca="false" t="array" ref="AL48:AL48">SUM(IF(V48:Z48,1,0))</f>
        <v>5</v>
      </c>
      <c r="AM48" s="14" t="n">
        <f aca="false" t="array" ref="AM48:AM48">SUM(IF(AA48:AE48,1,0))</f>
        <v>5</v>
      </c>
      <c r="AN48" s="14" t="n">
        <f aca="false" t="array" ref="AN48:AN48">SUM(IF(AF48:AJ48,1,0))</f>
        <v>3</v>
      </c>
      <c r="AO48" s="1" t="n">
        <f aca="false">FALSE()</f>
        <v>0</v>
      </c>
      <c r="AP48" s="1" t="n">
        <f aca="false">IF(O48 = 2,COUNTIF(Q48:AJ48,"TRUE"),-1)</f>
        <v>18</v>
      </c>
    </row>
    <row r="49" customFormat="false" ht="15.75" hidden="false" customHeight="false" outlineLevel="0" collapsed="false">
      <c r="A49" s="15" t="e">
        <f aca="true">INDIRECT("'Ответы на форму (1)'!A"&amp;$N49,TRUE())</f>
        <v>#REF!</v>
      </c>
      <c r="B49" s="16" t="e">
        <f aca="true">INDIRECT("'Ответы на форму (1)'!B"&amp;$N49,TRUE())</f>
        <v>#REF!</v>
      </c>
      <c r="C49" s="16" t="e">
        <f aca="true">INDIRECT("'Ответы на форму (1)'!C"&amp;$N49,TRUE())</f>
        <v>#REF!</v>
      </c>
      <c r="D49" s="16" t="e">
        <f aca="true">INDIRECT("'Ответы на форму (1)'!D"&amp;$N49,TRUE())</f>
        <v>#REF!</v>
      </c>
      <c r="E49" s="16" t="n">
        <f aca="false">IFERROR(__xludf.dummyfunction("iferror(VALUE(REGEXEXTRACT(TEXT(INDIRECT(""'Ответы на форму (1)'!E""&amp;$N49,TRUE),""####""),""[0-9]+"")),IF(IFERROR(SEARCH(""моцро"",INDIRECT(""'Ответы на форму (1)'!E""&amp;$N49,TRUE)),-1) &gt;= 0,117,INDIRECT(""'Ответы на форму (1)'!E""&amp;$N49,TRUE)))"),64)</f>
        <v>64</v>
      </c>
      <c r="F49" s="16" t="e">
        <f aca="true">INDIRECT("'Ответы на форму (1)'!F"&amp;$N49,TRUE())</f>
        <v>#REF!</v>
      </c>
      <c r="G49" s="17" t="e">
        <f aca="true">IFERROR(MID(INDIRECT("'Ответы на форму (1)'!G"&amp;$N49,TRUE()),SEARCH("vk.com",INDIRECT("'Ответы на форму (1)'!G"&amp;$N49,TRUE())),LEN(INDIRECT("'Ответы на форму (1)'!G"&amp;$N49,TRUE()))),INDIRECT("'Ответы на форму (1)'!G"&amp;$N49,TRUE()))</f>
        <v>#REF!</v>
      </c>
      <c r="H49" s="16" t="e">
        <f aca="true">INDIRECT("'Ответы на форму (1)'!H"&amp;$N49,TRUE())</f>
        <v>#REF!</v>
      </c>
      <c r="I49" s="16" t="e">
        <f aca="true">INDIRECT("'Ответы на форму (1)'!I"&amp;$N49,TRUE())</f>
        <v>#REF!</v>
      </c>
      <c r="J49" s="16" t="e">
        <f aca="true">INDIRECT("'Ответы на форму (1)'!J"&amp;$N49,TRUE())</f>
        <v>#REF!</v>
      </c>
      <c r="K49" s="16" t="e">
        <f aca="true">INDIRECT("'Ответы на форму (1)'!K"&amp;$N49,TRUE())</f>
        <v>#REF!</v>
      </c>
      <c r="L49" s="16" t="e">
        <f aca="true">INDIRECT("'Ответы на форму (1)'!L"&amp;$N49,TRUE())</f>
        <v>#REF!</v>
      </c>
      <c r="M49" s="16" t="e">
        <f aca="false" t="array" ref="M49:M49">IF(B49 &lt;&gt; "",IF(COUNTIF(concat(TRIM('Список прошлого года'!$B$2:$B$200),TRIM('Список прошлого года'!$C$2:$C$200)),concat(TRIM(B49),TRIM(C49))) &gt; 0,"Да","Нет"),"")</f>
        <v>#REF!</v>
      </c>
      <c r="N49" s="19" t="n">
        <v>53</v>
      </c>
      <c r="O49" s="19" t="n">
        <v>2</v>
      </c>
      <c r="P49" s="16"/>
      <c r="Q49" s="19" t="n">
        <f aca="false">TRUE()</f>
        <v>1</v>
      </c>
      <c r="R49" s="19" t="n">
        <f aca="false">TRUE()</f>
        <v>1</v>
      </c>
      <c r="S49" s="19" t="n">
        <f aca="false">FALSE()</f>
        <v>0</v>
      </c>
      <c r="T49" s="19" t="n">
        <f aca="false">TRUE()</f>
        <v>1</v>
      </c>
      <c r="U49" s="19" t="n">
        <f aca="false">TRUE()</f>
        <v>1</v>
      </c>
      <c r="V49" s="19" t="n">
        <f aca="false">TRUE()</f>
        <v>1</v>
      </c>
      <c r="W49" s="19" t="n">
        <f aca="false">TRUE()</f>
        <v>1</v>
      </c>
      <c r="X49" s="19" t="n">
        <f aca="false">FALSE()</f>
        <v>0</v>
      </c>
      <c r="Y49" s="19" t="n">
        <f aca="false">TRUE()</f>
        <v>1</v>
      </c>
      <c r="Z49" s="19" t="n">
        <f aca="false">TRUE()</f>
        <v>1</v>
      </c>
      <c r="AA49" s="19" t="n">
        <f aca="false">TRUE()</f>
        <v>1</v>
      </c>
      <c r="AB49" s="19" t="n">
        <f aca="false">TRUE()</f>
        <v>1</v>
      </c>
      <c r="AC49" s="19" t="n">
        <f aca="false">FALSE()</f>
        <v>0</v>
      </c>
      <c r="AD49" s="19" t="n">
        <f aca="false">FALSE()</f>
        <v>0</v>
      </c>
      <c r="AE49" s="19" t="n">
        <f aca="false">FALSE()</f>
        <v>0</v>
      </c>
      <c r="AF49" s="19" t="n">
        <f aca="false">TRUE()</f>
        <v>1</v>
      </c>
      <c r="AG49" s="19" t="n">
        <f aca="false">TRUE()</f>
        <v>1</v>
      </c>
      <c r="AH49" s="19" t="n">
        <f aca="false">FALSE()</f>
        <v>0</v>
      </c>
      <c r="AI49" s="19" t="n">
        <f aca="false">FALSE()</f>
        <v>0</v>
      </c>
      <c r="AJ49" s="19" t="n">
        <f aca="false">FALSE()</f>
        <v>0</v>
      </c>
      <c r="AK49" s="19" t="n">
        <f aca="false" t="array" ref="AK49:AK49">SUM(IF(Q49:U49,1,0))</f>
        <v>4</v>
      </c>
      <c r="AL49" s="20" t="n">
        <f aca="false" t="array" ref="AL49:AL49">SUM(IF(V49:Z49,1,0))</f>
        <v>4</v>
      </c>
      <c r="AM49" s="20" t="n">
        <f aca="false" t="array" ref="AM49:AM49">SUM(IF(AA49:AE49,1,0))</f>
        <v>2</v>
      </c>
      <c r="AN49" s="20" t="n">
        <f aca="false" t="array" ref="AN49:AN49">SUM(IF(AF49:AJ49,1,0))</f>
        <v>2</v>
      </c>
      <c r="AO49" s="19" t="n">
        <f aca="false">TRUE()</f>
        <v>1</v>
      </c>
      <c r="AP49" s="1" t="n">
        <f aca="false">IF(O49 = 2,COUNTIF(Q49:AJ49,"TRUE"),-1)</f>
        <v>12</v>
      </c>
    </row>
    <row r="50" customFormat="false" ht="15.75" hidden="false" customHeight="false" outlineLevel="0" collapsed="false">
      <c r="A50" s="15" t="e">
        <f aca="true">INDIRECT("'Ответы на форму (1)'!A"&amp;$N50,TRUE())</f>
        <v>#REF!</v>
      </c>
      <c r="B50" s="16" t="e">
        <f aca="true">INDIRECT("'Ответы на форму (1)'!B"&amp;$N50,TRUE())</f>
        <v>#REF!</v>
      </c>
      <c r="C50" s="16" t="e">
        <f aca="true">INDIRECT("'Ответы на форму (1)'!C"&amp;$N50,TRUE())</f>
        <v>#REF!</v>
      </c>
      <c r="D50" s="16" t="e">
        <f aca="true">INDIRECT("'Ответы на форму (1)'!D"&amp;$N50,TRUE())</f>
        <v>#REF!</v>
      </c>
      <c r="E50" s="16" t="n">
        <f aca="false">IFERROR(__xludf.dummyfunction("iferror(VALUE(REGEXEXTRACT(TEXT(INDIRECT(""'Ответы на форму (1)'!E""&amp;$N50,TRUE),""####""),""[0-9]+"")),IF(IFERROR(SEARCH(""моцро"",INDIRECT(""'Ответы на форму (1)'!E""&amp;$N50,TRUE)),-1) &gt;= 0,117,INDIRECT(""'Ответы на форму (1)'!E""&amp;$N50,TRUE)))"),64)</f>
        <v>64</v>
      </c>
      <c r="F50" s="16" t="e">
        <f aca="true">INDIRECT("'Ответы на форму (1)'!F"&amp;$N50,TRUE())</f>
        <v>#REF!</v>
      </c>
      <c r="G50" s="17" t="e">
        <f aca="true">IFERROR(MID(INDIRECT("'Ответы на форму (1)'!G"&amp;$N50,TRUE()),SEARCH("vk.com",INDIRECT("'Ответы на форму (1)'!G"&amp;$N50,TRUE())),LEN(INDIRECT("'Ответы на форму (1)'!G"&amp;$N50,TRUE()))),INDIRECT("'Ответы на форму (1)'!G"&amp;$N50,TRUE()))</f>
        <v>#REF!</v>
      </c>
      <c r="H50" s="16" t="e">
        <f aca="true">INDIRECT("'Ответы на форму (1)'!H"&amp;$N50,TRUE())</f>
        <v>#REF!</v>
      </c>
      <c r="I50" s="16" t="e">
        <f aca="true">INDIRECT("'Ответы на форму (1)'!I"&amp;$N50,TRUE())</f>
        <v>#REF!</v>
      </c>
      <c r="J50" s="16" t="e">
        <f aca="true">INDIRECT("'Ответы на форму (1)'!J"&amp;$N50,TRUE())</f>
        <v>#REF!</v>
      </c>
      <c r="K50" s="16" t="e">
        <f aca="true">INDIRECT("'Ответы на форму (1)'!K"&amp;$N50,TRUE())</f>
        <v>#REF!</v>
      </c>
      <c r="L50" s="16" t="e">
        <f aca="true">INDIRECT("'Ответы на форму (1)'!L"&amp;$N50,TRUE())</f>
        <v>#REF!</v>
      </c>
      <c r="M50" s="16" t="e">
        <f aca="false" t="array" ref="M50:M50">IF(B50 &lt;&gt; "",IF(COUNTIF(concat(TRIM('Список прошлого года'!$B$2:$B$200),TRIM('Список прошлого года'!$C$2:$C$200)),concat(TRIM(B50),TRIM(C50))) &gt; 0,"Да","Нет"),"")</f>
        <v>#REF!</v>
      </c>
      <c r="N50" s="19" t="n">
        <v>54</v>
      </c>
      <c r="O50" s="19" t="n">
        <v>2</v>
      </c>
      <c r="P50" s="16"/>
      <c r="Q50" s="19" t="n">
        <f aca="false">TRUE()</f>
        <v>1</v>
      </c>
      <c r="R50" s="19" t="n">
        <f aca="false">TRUE()</f>
        <v>1</v>
      </c>
      <c r="S50" s="19" t="n">
        <f aca="false">TRUE()</f>
        <v>1</v>
      </c>
      <c r="T50" s="19" t="n">
        <f aca="false">TRUE()</f>
        <v>1</v>
      </c>
      <c r="U50" s="19" t="n">
        <f aca="false">TRUE()</f>
        <v>1</v>
      </c>
      <c r="V50" s="19" t="n">
        <f aca="false">TRUE()</f>
        <v>1</v>
      </c>
      <c r="W50" s="19" t="n">
        <f aca="false">TRUE()</f>
        <v>1</v>
      </c>
      <c r="X50" s="19" t="n">
        <f aca="false">TRUE()</f>
        <v>1</v>
      </c>
      <c r="Y50" s="19" t="n">
        <f aca="false">TRUE()</f>
        <v>1</v>
      </c>
      <c r="Z50" s="19" t="n">
        <f aca="false">TRUE()</f>
        <v>1</v>
      </c>
      <c r="AA50" s="19" t="n">
        <f aca="false">TRUE()</f>
        <v>1</v>
      </c>
      <c r="AB50" s="19" t="n">
        <f aca="false">TRUE()</f>
        <v>1</v>
      </c>
      <c r="AC50" s="19" t="n">
        <f aca="false">FALSE()</f>
        <v>0</v>
      </c>
      <c r="AD50" s="19" t="n">
        <f aca="false">TRUE()</f>
        <v>1</v>
      </c>
      <c r="AE50" s="19" t="n">
        <f aca="false">TRUE()</f>
        <v>1</v>
      </c>
      <c r="AF50" s="19" t="n">
        <f aca="false">TRUE()</f>
        <v>1</v>
      </c>
      <c r="AG50" s="19" t="n">
        <f aca="false">TRUE()</f>
        <v>1</v>
      </c>
      <c r="AH50" s="19" t="n">
        <f aca="false">FALSE()</f>
        <v>0</v>
      </c>
      <c r="AI50" s="19" t="n">
        <f aca="false">TRUE()</f>
        <v>1</v>
      </c>
      <c r="AJ50" s="19" t="n">
        <f aca="false">FALSE()</f>
        <v>0</v>
      </c>
      <c r="AK50" s="19" t="n">
        <f aca="false" t="array" ref="AK50:AK50">SUM(IF(Q50:U50,1,0))</f>
        <v>5</v>
      </c>
      <c r="AL50" s="20" t="n">
        <f aca="false" t="array" ref="AL50:AL50">SUM(IF(V50:Z50,1,0))</f>
        <v>5</v>
      </c>
      <c r="AM50" s="20" t="n">
        <f aca="false" t="array" ref="AM50:AM50">SUM(IF(AA50:AE50,1,0))</f>
        <v>4</v>
      </c>
      <c r="AN50" s="20" t="n">
        <f aca="false" t="array" ref="AN50:AN50">SUM(IF(AF50:AJ50,1,0))</f>
        <v>3</v>
      </c>
      <c r="AO50" s="19" t="n">
        <f aca="false">TRUE()</f>
        <v>1</v>
      </c>
      <c r="AP50" s="1" t="n">
        <f aca="false">IF(O50 = 2,COUNTIF(Q50:AJ50,"TRUE"),-1)</f>
        <v>17</v>
      </c>
    </row>
    <row r="51" customFormat="false" ht="15.75" hidden="false" customHeight="false" outlineLevel="0" collapsed="false">
      <c r="A51" s="15" t="e">
        <f aca="true">INDIRECT("'Ответы на форму (1)'!A"&amp;$N51,TRUE())</f>
        <v>#REF!</v>
      </c>
      <c r="B51" s="16" t="e">
        <f aca="true">INDIRECT("'Ответы на форму (1)'!B"&amp;$N51,TRUE())</f>
        <v>#REF!</v>
      </c>
      <c r="C51" s="16" t="e">
        <f aca="true">INDIRECT("'Ответы на форму (1)'!C"&amp;$N51,TRUE())</f>
        <v>#REF!</v>
      </c>
      <c r="D51" s="16" t="e">
        <f aca="true">INDIRECT("'Ответы на форму (1)'!D"&amp;$N51,TRUE())</f>
        <v>#REF!</v>
      </c>
      <c r="E51" s="16" t="n">
        <f aca="false">IFERROR(__xludf.dummyfunction("iferror(VALUE(REGEXEXTRACT(TEXT(INDIRECT(""'Ответы на форму (1)'!E""&amp;$N51,TRUE),""####""),""[0-9]+"")),IF(IFERROR(SEARCH(""моцро"",INDIRECT(""'Ответы на форму (1)'!E""&amp;$N51,TRUE)),-1) &gt;= 0,117,INDIRECT(""'Ответы на форму (1)'!E""&amp;$N51,TRUE)))"),139)</f>
        <v>139</v>
      </c>
      <c r="F51" s="16" t="e">
        <f aca="true">INDIRECT("'Ответы на форму (1)'!F"&amp;$N51,TRUE())</f>
        <v>#REF!</v>
      </c>
      <c r="G51" s="17" t="e">
        <f aca="true">IFERROR(MID(INDIRECT("'Ответы на форму (1)'!G"&amp;$N51,TRUE()),SEARCH("vk.com",INDIRECT("'Ответы на форму (1)'!G"&amp;$N51,TRUE())),LEN(INDIRECT("'Ответы на форму (1)'!G"&amp;$N51,TRUE()))),INDIRECT("'Ответы на форму (1)'!G"&amp;$N51,TRUE()))</f>
        <v>#REF!</v>
      </c>
      <c r="H51" s="16" t="e">
        <f aca="true">INDIRECT("'Ответы на форму (1)'!H"&amp;$N51,TRUE())</f>
        <v>#REF!</v>
      </c>
      <c r="I51" s="16" t="e">
        <f aca="true">INDIRECT("'Ответы на форму (1)'!I"&amp;$N51,TRUE())</f>
        <v>#REF!</v>
      </c>
      <c r="J51" s="16" t="e">
        <f aca="true">INDIRECT("'Ответы на форму (1)'!J"&amp;$N51,TRUE())</f>
        <v>#REF!</v>
      </c>
      <c r="K51" s="16" t="e">
        <f aca="true">INDIRECT("'Ответы на форму (1)'!K"&amp;$N51,TRUE())</f>
        <v>#REF!</v>
      </c>
      <c r="L51" s="16" t="e">
        <f aca="true">INDIRECT("'Ответы на форму (1)'!L"&amp;$N51,TRUE())</f>
        <v>#REF!</v>
      </c>
      <c r="M51" s="16" t="e">
        <f aca="false" t="array" ref="M51:M51">IF(B51 &lt;&gt; "",IF(COUNTIF(concat(TRIM('Список прошлого года'!$B$2:$B$200),TRIM('Список прошлого года'!$C$2:$C$200)),concat(TRIM(B51),TRIM(C51))) &gt; 0,"Да","Нет"),"")</f>
        <v>#REF!</v>
      </c>
      <c r="N51" s="19" t="n">
        <v>55</v>
      </c>
      <c r="O51" s="19" t="n">
        <v>2</v>
      </c>
      <c r="P51" s="16"/>
      <c r="Q51" s="19" t="n">
        <f aca="false">TRUE()</f>
        <v>1</v>
      </c>
      <c r="R51" s="19" t="n">
        <f aca="false">TRUE()</f>
        <v>1</v>
      </c>
      <c r="S51" s="19" t="n">
        <f aca="false">TRUE()</f>
        <v>1</v>
      </c>
      <c r="T51" s="19" t="n">
        <f aca="false">TRUE()</f>
        <v>1</v>
      </c>
      <c r="U51" s="19" t="n">
        <f aca="false">TRUE()</f>
        <v>1</v>
      </c>
      <c r="V51" s="19" t="n">
        <f aca="false">TRUE()</f>
        <v>1</v>
      </c>
      <c r="W51" s="19" t="n">
        <f aca="false">TRUE()</f>
        <v>1</v>
      </c>
      <c r="X51" s="19" t="n">
        <f aca="false">TRUE()</f>
        <v>1</v>
      </c>
      <c r="Y51" s="19" t="n">
        <f aca="false">TRUE()</f>
        <v>1</v>
      </c>
      <c r="Z51" s="19" t="n">
        <f aca="false">TRUE()</f>
        <v>1</v>
      </c>
      <c r="AA51" s="19" t="n">
        <f aca="false">TRUE()</f>
        <v>1</v>
      </c>
      <c r="AB51" s="19" t="n">
        <f aca="false">TRUE()</f>
        <v>1</v>
      </c>
      <c r="AC51" s="19" t="n">
        <f aca="false">TRUE()</f>
        <v>1</v>
      </c>
      <c r="AD51" s="19" t="n">
        <f aca="false">TRUE()</f>
        <v>1</v>
      </c>
      <c r="AE51" s="19" t="n">
        <f aca="false">TRUE()</f>
        <v>1</v>
      </c>
      <c r="AF51" s="19" t="n">
        <f aca="false">TRUE()</f>
        <v>1</v>
      </c>
      <c r="AG51" s="19" t="n">
        <f aca="false">TRUE()</f>
        <v>1</v>
      </c>
      <c r="AH51" s="19" t="n">
        <f aca="false">TRUE()</f>
        <v>1</v>
      </c>
      <c r="AI51" s="19" t="n">
        <f aca="false">FALSE()</f>
        <v>0</v>
      </c>
      <c r="AJ51" s="19" t="n">
        <f aca="false">FALSE()</f>
        <v>0</v>
      </c>
      <c r="AK51" s="19" t="n">
        <f aca="false" t="array" ref="AK51:AK51">SUM(IF(Q51:U51,1,0))</f>
        <v>5</v>
      </c>
      <c r="AL51" s="20" t="n">
        <f aca="false" t="array" ref="AL51:AL51">SUM(IF(V51:Z51,1,0))</f>
        <v>5</v>
      </c>
      <c r="AM51" s="20" t="n">
        <f aca="false" t="array" ref="AM51:AM51">SUM(IF(AA51:AE51,1,0))</f>
        <v>5</v>
      </c>
      <c r="AN51" s="20" t="n">
        <f aca="false" t="array" ref="AN51:AN51">SUM(IF(AF51:AJ51,1,0))</f>
        <v>3</v>
      </c>
      <c r="AO51" s="19" t="n">
        <f aca="false">TRUE()</f>
        <v>1</v>
      </c>
      <c r="AP51" s="1" t="n">
        <f aca="false">IF(O51 = 2,COUNTIF(Q51:AJ51,"TRUE"),-1)</f>
        <v>18</v>
      </c>
    </row>
    <row r="52" customFormat="false" ht="15.75" hidden="false" customHeight="false" outlineLevel="0" collapsed="false">
      <c r="A52" s="8" t="e">
        <f aca="true">INDIRECT("'Ответы на форму (1)'!A"&amp;$N52,TRUE())</f>
        <v>#REF!</v>
      </c>
      <c r="B52" s="0" t="e">
        <f aca="true">INDIRECT("'Ответы на форму (1)'!B"&amp;$N52,TRUE())</f>
        <v>#REF!</v>
      </c>
      <c r="C52" s="0" t="e">
        <f aca="true">INDIRECT("'Ответы на форму (1)'!C"&amp;$N52,TRUE())</f>
        <v>#REF!</v>
      </c>
      <c r="D52" s="0" t="e">
        <f aca="true">INDIRECT("'Ответы на форму (1)'!D"&amp;$N52,TRUE())</f>
        <v>#REF!</v>
      </c>
      <c r="E52" s="0" t="n">
        <f aca="false">IFERROR(__xludf.dummyfunction("iferror(VALUE(REGEXEXTRACT(TEXT(INDIRECT(""'Ответы на форму (1)'!E""&amp;$N52,TRUE),""####""),""[0-9]+"")),IF(IFERROR(SEARCH(""моцро"",INDIRECT(""'Ответы на форму (1)'!E""&amp;$N52,TRUE)),-1) &gt;= 0,117,INDIRECT(""'Ответы на форму (1)'!E""&amp;$N52,TRUE)))"),36)</f>
        <v>36</v>
      </c>
      <c r="F52" s="0" t="e">
        <f aca="true">INDIRECT("'Ответы на форму (1)'!F"&amp;$N52,TRUE())</f>
        <v>#REF!</v>
      </c>
      <c r="G52" s="9" t="e">
        <f aca="true">IFERROR(MID(INDIRECT("'Ответы на форму (1)'!G"&amp;$N52,TRUE()),SEARCH("vk.com",INDIRECT("'Ответы на форму (1)'!G"&amp;$N52,TRUE())),LEN(INDIRECT("'Ответы на форму (1)'!G"&amp;$N52,TRUE()))),INDIRECT("'Ответы на форму (1)'!G"&amp;$N52,TRUE()))</f>
        <v>#REF!</v>
      </c>
      <c r="H52" s="0" t="e">
        <f aca="true">INDIRECT("'Ответы на форму (1)'!H"&amp;$N52,TRUE())</f>
        <v>#REF!</v>
      </c>
      <c r="I52" s="12" t="e">
        <f aca="true">INDIRECT("'Ответы на форму (1)'!I"&amp;$N52,TRUE())</f>
        <v>#REF!</v>
      </c>
      <c r="J52" s="12" t="e">
        <f aca="true">INDIRECT("'Ответы на форму (1)'!J"&amp;$N52,TRUE())</f>
        <v>#REF!</v>
      </c>
      <c r="K52" s="12" t="e">
        <f aca="true">INDIRECT("'Ответы на форму (1)'!K"&amp;$N52,TRUE())</f>
        <v>#REF!</v>
      </c>
      <c r="L52" s="12" t="e">
        <f aca="true">INDIRECT("'Ответы на форму (1)'!L"&amp;$N52,TRUE())</f>
        <v>#REF!</v>
      </c>
      <c r="M52" s="0" t="e">
        <f aca="false" t="array" ref="M52:M52">IF(B52 &lt;&gt; "",IF(COUNTIF(concat(TRIM('Список прошлого года'!$B$2:$B$200),TRIM('Список прошлого года'!$C$2:$C$200)),concat(TRIM(B52),TRIM(C52))) &gt; 0,"Да","Нет"),"")</f>
        <v>#REF!</v>
      </c>
      <c r="N52" s="1" t="n">
        <v>56</v>
      </c>
      <c r="O52" s="1" t="n">
        <v>2</v>
      </c>
      <c r="Q52" s="1" t="n">
        <f aca="false">TRUE()</f>
        <v>1</v>
      </c>
      <c r="R52" s="1" t="n">
        <f aca="false">TRUE()</f>
        <v>1</v>
      </c>
      <c r="S52" s="1" t="n">
        <f aca="false">TRUE()</f>
        <v>1</v>
      </c>
      <c r="T52" s="1" t="n">
        <f aca="false">TRUE()</f>
        <v>1</v>
      </c>
      <c r="U52" s="1" t="n">
        <f aca="false">TRUE()</f>
        <v>1</v>
      </c>
      <c r="V52" s="1" t="n">
        <f aca="false">TRUE()</f>
        <v>1</v>
      </c>
      <c r="W52" s="1" t="n">
        <f aca="false">TRUE()</f>
        <v>1</v>
      </c>
      <c r="X52" s="1" t="n">
        <f aca="false">TRUE()</f>
        <v>1</v>
      </c>
      <c r="Y52" s="1" t="n">
        <f aca="false">TRUE()</f>
        <v>1</v>
      </c>
      <c r="Z52" s="1" t="n">
        <f aca="false">TRUE()</f>
        <v>1</v>
      </c>
      <c r="AA52" s="1" t="n">
        <f aca="false">TRUE()</f>
        <v>1</v>
      </c>
      <c r="AB52" s="1" t="n">
        <f aca="false">TRUE()</f>
        <v>1</v>
      </c>
      <c r="AC52" s="1" t="n">
        <f aca="false">TRUE()</f>
        <v>1</v>
      </c>
      <c r="AD52" s="1" t="n">
        <f aca="false">TRUE()</f>
        <v>1</v>
      </c>
      <c r="AE52" s="1" t="n">
        <f aca="false">TRUE()</f>
        <v>1</v>
      </c>
      <c r="AF52" s="1" t="n">
        <f aca="false">TRUE()</f>
        <v>1</v>
      </c>
      <c r="AG52" s="1" t="n">
        <f aca="false">FALSE()</f>
        <v>0</v>
      </c>
      <c r="AH52" s="1" t="n">
        <f aca="false">FALSE()</f>
        <v>0</v>
      </c>
      <c r="AI52" s="1" t="n">
        <f aca="false">TRUE()</f>
        <v>1</v>
      </c>
      <c r="AJ52" s="1" t="n">
        <f aca="false">TRUE()</f>
        <v>1</v>
      </c>
      <c r="AK52" s="1" t="n">
        <f aca="false" t="array" ref="AK52:AK52">SUM(IF(Q52:U52,1,0))</f>
        <v>5</v>
      </c>
      <c r="AL52" s="14" t="n">
        <f aca="false" t="array" ref="AL52:AL52">SUM(IF(V52:Z52,1,0))</f>
        <v>5</v>
      </c>
      <c r="AM52" s="14" t="n">
        <f aca="false" t="array" ref="AM52:AM52">SUM(IF(AA52:AE52,1,0))</f>
        <v>5</v>
      </c>
      <c r="AN52" s="14" t="n">
        <f aca="false" t="array" ref="AN52:AN52">SUM(IF(AF52:AJ52,1,0))</f>
        <v>3</v>
      </c>
      <c r="AO52" s="1" t="n">
        <f aca="false">FALSE()</f>
        <v>0</v>
      </c>
      <c r="AP52" s="1" t="n">
        <f aca="false">IF(O52 = 2,COUNTIF(Q52:AJ52,"TRUE"),-1)</f>
        <v>18</v>
      </c>
    </row>
    <row r="53" customFormat="false" ht="15.75" hidden="false" customHeight="false" outlineLevel="0" collapsed="false">
      <c r="A53" s="8" t="e">
        <f aca="true">INDIRECT("'Ответы на форму (1)'!A"&amp;$N53,TRUE())</f>
        <v>#REF!</v>
      </c>
      <c r="B53" s="0" t="e">
        <f aca="true">INDIRECT("'Ответы на форму (1)'!B"&amp;$N53,TRUE())</f>
        <v>#REF!</v>
      </c>
      <c r="C53" s="0" t="e">
        <f aca="true">INDIRECT("'Ответы на форму (1)'!C"&amp;$N53,TRUE())</f>
        <v>#REF!</v>
      </c>
      <c r="D53" s="0" t="e">
        <f aca="true">INDIRECT("'Ответы на форму (1)'!D"&amp;$N53,TRUE())</f>
        <v>#REF!</v>
      </c>
      <c r="E53" s="0" t="n">
        <f aca="false">IFERROR(__xludf.dummyfunction("iferror(VALUE(REGEXEXTRACT(TEXT(INDIRECT(""'Ответы на форму (1)'!E""&amp;$N53,TRUE),""####""),""[0-9]+"")),IF(IFERROR(SEARCH(""моцро"",INDIRECT(""'Ответы на форму (1)'!E""&amp;$N53,TRUE)),-1) &gt;= 0,117,INDIRECT(""'Ответы на форму (1)'!E""&amp;$N53,TRUE)))"),85)</f>
        <v>85</v>
      </c>
      <c r="F53" s="0" t="e">
        <f aca="true">INDIRECT("'Ответы на форму (1)'!F"&amp;$N53,TRUE())</f>
        <v>#REF!</v>
      </c>
      <c r="G53" s="9" t="e">
        <f aca="true">IFERROR(MID(INDIRECT("'Ответы на форму (1)'!G"&amp;$N53,TRUE()),SEARCH("vk.com",INDIRECT("'Ответы на форму (1)'!G"&amp;$N53,TRUE())),LEN(INDIRECT("'Ответы на форму (1)'!G"&amp;$N53,TRUE()))),INDIRECT("'Ответы на форму (1)'!G"&amp;$N53,TRUE()))</f>
        <v>#REF!</v>
      </c>
      <c r="H53" s="0" t="e">
        <f aca="true">INDIRECT("'Ответы на форму (1)'!H"&amp;$N53,TRUE())</f>
        <v>#REF!</v>
      </c>
      <c r="I53" s="12" t="e">
        <f aca="true">INDIRECT("'Ответы на форму (1)'!I"&amp;$N53,TRUE())</f>
        <v>#REF!</v>
      </c>
      <c r="J53" s="12" t="e">
        <f aca="true">INDIRECT("'Ответы на форму (1)'!J"&amp;$N53,TRUE())</f>
        <v>#REF!</v>
      </c>
      <c r="K53" s="12" t="e">
        <f aca="true">INDIRECT("'Ответы на форму (1)'!K"&amp;$N53,TRUE())</f>
        <v>#REF!</v>
      </c>
      <c r="L53" s="12" t="e">
        <f aca="true">INDIRECT("'Ответы на форму (1)'!L"&amp;$N53,TRUE())</f>
        <v>#REF!</v>
      </c>
      <c r="M53" s="0" t="e">
        <f aca="false" t="array" ref="M53:M53">IF(B53 &lt;&gt; "",IF(COUNTIF(concat(TRIM('Список прошлого года'!$B$2:$B$200),TRIM('Список прошлого года'!$C$2:$C$200)),concat(TRIM(B53),TRIM(C53))) &gt; 0,"Да","Нет"),"")</f>
        <v>#REF!</v>
      </c>
      <c r="N53" s="1" t="n">
        <v>57</v>
      </c>
      <c r="O53" s="1" t="n">
        <v>-1</v>
      </c>
      <c r="Q53" s="1" t="n">
        <f aca="false">FALSE()</f>
        <v>0</v>
      </c>
      <c r="R53" s="1" t="n">
        <f aca="false">FALSE()</f>
        <v>0</v>
      </c>
      <c r="S53" s="1" t="n">
        <f aca="false">FALSE()</f>
        <v>0</v>
      </c>
      <c r="T53" s="1" t="n">
        <f aca="false">FALSE()</f>
        <v>0</v>
      </c>
      <c r="U53" s="1" t="n">
        <f aca="false">FALSE()</f>
        <v>0</v>
      </c>
      <c r="V53" s="1" t="n">
        <f aca="false">FALSE()</f>
        <v>0</v>
      </c>
      <c r="W53" s="1" t="n">
        <f aca="false">FALSE()</f>
        <v>0</v>
      </c>
      <c r="X53" s="1" t="n">
        <f aca="false">FALSE()</f>
        <v>0</v>
      </c>
      <c r="Y53" s="1" t="n">
        <f aca="false">FALSE()</f>
        <v>0</v>
      </c>
      <c r="Z53" s="1" t="n">
        <f aca="false">FALSE()</f>
        <v>0</v>
      </c>
      <c r="AA53" s="1" t="n">
        <f aca="false">FALSE()</f>
        <v>0</v>
      </c>
      <c r="AB53" s="1" t="n">
        <f aca="false">FALSE()</f>
        <v>0</v>
      </c>
      <c r="AC53" s="1" t="n">
        <f aca="false">FALSE()</f>
        <v>0</v>
      </c>
      <c r="AD53" s="1" t="n">
        <f aca="false">FALSE()</f>
        <v>0</v>
      </c>
      <c r="AE53" s="1" t="n">
        <f aca="false">FALSE()</f>
        <v>0</v>
      </c>
      <c r="AF53" s="1" t="n">
        <f aca="false">FALSE()</f>
        <v>0</v>
      </c>
      <c r="AG53" s="1" t="n">
        <f aca="false">FALSE()</f>
        <v>0</v>
      </c>
      <c r="AH53" s="1" t="n">
        <f aca="false">FALSE()</f>
        <v>0</v>
      </c>
      <c r="AI53" s="1" t="n">
        <f aca="false">FALSE()</f>
        <v>0</v>
      </c>
      <c r="AJ53" s="1" t="n">
        <f aca="false">FALSE()</f>
        <v>0</v>
      </c>
      <c r="AK53" s="1" t="n">
        <f aca="false" t="array" ref="AK53:AK53">SUM(IF(Q53:U53,1,0))</f>
        <v>0</v>
      </c>
      <c r="AL53" s="14" t="n">
        <f aca="false" t="array" ref="AL53:AL53">SUM(IF(V53:Z53,1,0))</f>
        <v>0</v>
      </c>
      <c r="AM53" s="14" t="n">
        <f aca="false" t="array" ref="AM53:AM53">SUM(IF(AA53:AE53,1,0))</f>
        <v>0</v>
      </c>
      <c r="AN53" s="14" t="n">
        <f aca="false" t="array" ref="AN53:AN53">SUM(IF(AF53:AJ53,1,0))</f>
        <v>0</v>
      </c>
      <c r="AO53" s="1" t="n">
        <f aca="false">FALSE()</f>
        <v>0</v>
      </c>
      <c r="AP53" s="1" t="n">
        <f aca="false">IF(O53 = 2,COUNTIF(Q53:AJ53,"TRUE"),-1)</f>
        <v>-1</v>
      </c>
    </row>
    <row r="54" customFormat="false" ht="15.75" hidden="false" customHeight="false" outlineLevel="0" collapsed="false">
      <c r="A54" s="8" t="e">
        <f aca="true">INDIRECT("'Ответы на форму (1)'!A"&amp;$N54,TRUE())</f>
        <v>#REF!</v>
      </c>
      <c r="B54" s="0" t="e">
        <f aca="true">INDIRECT("'Ответы на форму (1)'!B"&amp;$N54,TRUE())</f>
        <v>#REF!</v>
      </c>
      <c r="C54" s="0" t="e">
        <f aca="true">INDIRECT("'Ответы на форму (1)'!C"&amp;$N54,TRUE())</f>
        <v>#REF!</v>
      </c>
      <c r="D54" s="0" t="e">
        <f aca="true">INDIRECT("'Ответы на форму (1)'!D"&amp;$N54,TRUE())</f>
        <v>#REF!</v>
      </c>
      <c r="E54" s="0" t="n">
        <f aca="false">IFERROR(__xludf.dummyfunction("iferror(VALUE(REGEXEXTRACT(TEXT(INDIRECT(""'Ответы на форму (1)'!E""&amp;$N54,TRUE),""####""),""[0-9]+"")),IF(IFERROR(SEARCH(""моцро"",INDIRECT(""'Ответы на форму (1)'!E""&amp;$N54,TRUE)),-1) &gt;= 0,117,INDIRECT(""'Ответы на форму (1)'!E""&amp;$N54,TRUE)))"),149)</f>
        <v>149</v>
      </c>
      <c r="F54" s="0" t="e">
        <f aca="true">INDIRECT("'Ответы на форму (1)'!F"&amp;$N54,TRUE())</f>
        <v>#REF!</v>
      </c>
      <c r="G54" s="9" t="e">
        <f aca="true">IFERROR(MID(INDIRECT("'Ответы на форму (1)'!G"&amp;$N54,TRUE()),SEARCH("vk.com",INDIRECT("'Ответы на форму (1)'!G"&amp;$N54,TRUE())),LEN(INDIRECT("'Ответы на форму (1)'!G"&amp;$N54,TRUE()))),INDIRECT("'Ответы на форму (1)'!G"&amp;$N54,TRUE()))</f>
        <v>#REF!</v>
      </c>
      <c r="H54" s="0" t="e">
        <f aca="true">INDIRECT("'Ответы на форму (1)'!H"&amp;$N54,TRUE())</f>
        <v>#REF!</v>
      </c>
      <c r="I54" s="12" t="e">
        <f aca="true">INDIRECT("'Ответы на форму (1)'!I"&amp;$N54,TRUE())</f>
        <v>#REF!</v>
      </c>
      <c r="J54" s="12" t="e">
        <f aca="true">INDIRECT("'Ответы на форму (1)'!J"&amp;$N54,TRUE())</f>
        <v>#REF!</v>
      </c>
      <c r="K54" s="12" t="e">
        <f aca="true">INDIRECT("'Ответы на форму (1)'!K"&amp;$N54,TRUE())</f>
        <v>#REF!</v>
      </c>
      <c r="L54" s="12" t="e">
        <f aca="true">INDIRECT("'Ответы на форму (1)'!L"&amp;$N54,TRUE())</f>
        <v>#REF!</v>
      </c>
      <c r="M54" s="0" t="e">
        <f aca="false" t="array" ref="M54:M54">IF(B54 &lt;&gt; "",IF(COUNTIF(concat(TRIM('Список прошлого года'!$B$2:$B$200),TRIM('Список прошлого года'!$C$2:$C$200)),concat(TRIM(B54),TRIM(C54))) &gt; 0,"Да","Нет"),"")</f>
        <v>#REF!</v>
      </c>
      <c r="N54" s="1" t="n">
        <v>58</v>
      </c>
      <c r="O54" s="13" t="n">
        <v>2</v>
      </c>
      <c r="Q54" s="1" t="n">
        <f aca="false">TRUE()</f>
        <v>1</v>
      </c>
      <c r="R54" s="1" t="n">
        <f aca="false">TRUE()</f>
        <v>1</v>
      </c>
      <c r="S54" s="1" t="n">
        <f aca="false">FALSE()</f>
        <v>0</v>
      </c>
      <c r="T54" s="1" t="n">
        <f aca="false">TRUE()</f>
        <v>1</v>
      </c>
      <c r="U54" s="1" t="n">
        <f aca="false">TRUE()</f>
        <v>1</v>
      </c>
      <c r="V54" s="1" t="n">
        <f aca="false">TRUE()</f>
        <v>1</v>
      </c>
      <c r="W54" s="1" t="n">
        <f aca="false">TRUE()</f>
        <v>1</v>
      </c>
      <c r="X54" s="1" t="n">
        <f aca="false">TRUE()</f>
        <v>1</v>
      </c>
      <c r="Y54" s="1" t="n">
        <f aca="false">TRUE()</f>
        <v>1</v>
      </c>
      <c r="Z54" s="1" t="n">
        <f aca="false">TRUE()</f>
        <v>1</v>
      </c>
      <c r="AA54" s="1" t="n">
        <f aca="false">TRUE()</f>
        <v>1</v>
      </c>
      <c r="AB54" s="1" t="n">
        <f aca="false">TRUE()</f>
        <v>1</v>
      </c>
      <c r="AC54" s="1" t="n">
        <f aca="false">TRUE()</f>
        <v>1</v>
      </c>
      <c r="AD54" s="1" t="n">
        <f aca="false">TRUE()</f>
        <v>1</v>
      </c>
      <c r="AE54" s="1" t="n">
        <f aca="false">TRUE()</f>
        <v>1</v>
      </c>
      <c r="AF54" s="1" t="n">
        <f aca="false">TRUE()</f>
        <v>1</v>
      </c>
      <c r="AG54" s="1" t="n">
        <f aca="false">FALSE()</f>
        <v>0</v>
      </c>
      <c r="AH54" s="1" t="n">
        <f aca="false">TRUE()</f>
        <v>1</v>
      </c>
      <c r="AI54" s="1" t="n">
        <f aca="false">TRUE()</f>
        <v>1</v>
      </c>
      <c r="AJ54" s="1" t="n">
        <f aca="false">FALSE()</f>
        <v>0</v>
      </c>
      <c r="AK54" s="1" t="n">
        <f aca="false" t="array" ref="AK54:AK54">SUM(IF(Q54:U54,1,0))</f>
        <v>4</v>
      </c>
      <c r="AL54" s="14" t="n">
        <f aca="false" t="array" ref="AL54:AL54">SUM(IF(V54:Z54,1,0))</f>
        <v>5</v>
      </c>
      <c r="AM54" s="14" t="n">
        <f aca="false" t="array" ref="AM54:AM54">SUM(IF(AA54:AE54,1,0))</f>
        <v>5</v>
      </c>
      <c r="AN54" s="14" t="n">
        <f aca="false" t="array" ref="AN54:AN54">SUM(IF(AF54:AJ54,1,0))</f>
        <v>3</v>
      </c>
      <c r="AO54" s="1" t="n">
        <f aca="false">FALSE()</f>
        <v>0</v>
      </c>
      <c r="AP54" s="1" t="n">
        <f aca="false">IF(O54 = 2,COUNTIF(Q54:AJ54,"TRUE"),-1)</f>
        <v>17</v>
      </c>
    </row>
    <row r="55" customFormat="false" ht="15.75" hidden="false" customHeight="false" outlineLevel="0" collapsed="false">
      <c r="A55" s="8" t="e">
        <f aca="true">INDIRECT("'Ответы на форму (1)'!A"&amp;$N55,TRUE())</f>
        <v>#REF!</v>
      </c>
      <c r="B55" s="0" t="e">
        <f aca="true">INDIRECT("'Ответы на форму (1)'!B"&amp;$N55,TRUE())</f>
        <v>#REF!</v>
      </c>
      <c r="C55" s="0" t="e">
        <f aca="true">INDIRECT("'Ответы на форму (1)'!C"&amp;$N55,TRUE())</f>
        <v>#REF!</v>
      </c>
      <c r="D55" s="0" t="e">
        <f aca="true">INDIRECT("'Ответы на форму (1)'!D"&amp;$N55,TRUE())</f>
        <v>#REF!</v>
      </c>
      <c r="E55" s="0" t="n">
        <f aca="false">IFERROR(__xludf.dummyfunction("iferror(VALUE(REGEXEXTRACT(TEXT(INDIRECT(""'Ответы на форму (1)'!E""&amp;$N55,TRUE),""####""),""[0-9]+"")),IF(IFERROR(SEARCH(""моцро"",INDIRECT(""'Ответы на форму (1)'!E""&amp;$N55,TRUE)),-1) &gt;= 0,117,INDIRECT(""'Ответы на форму (1)'!E""&amp;$N55,TRUE)))"),117)</f>
        <v>117</v>
      </c>
      <c r="F55" s="0" t="e">
        <f aca="true">INDIRECT("'Ответы на форму (1)'!F"&amp;$N55,TRUE())</f>
        <v>#REF!</v>
      </c>
      <c r="G55" s="0" t="e">
        <f aca="true">IFERROR(MID(INDIRECT("'Ответы на форму (1)'!G"&amp;$N55,TRUE()),SEARCH("vk.com",INDIRECT("'Ответы на форму (1)'!G"&amp;$N55,TRUE())),LEN(INDIRECT("'Ответы на форму (1)'!G"&amp;$N55,TRUE()))),INDIRECT("'Ответы на форму (1)'!G"&amp;$N55,TRUE()))</f>
        <v>#REF!</v>
      </c>
      <c r="H55" s="0" t="e">
        <f aca="true">INDIRECT("'Ответы на форму (1)'!H"&amp;$N55,TRUE())</f>
        <v>#REF!</v>
      </c>
      <c r="I55" s="12" t="e">
        <f aca="true">INDIRECT("'Ответы на форму (1)'!I"&amp;$N55,TRUE())</f>
        <v>#REF!</v>
      </c>
      <c r="J55" s="12" t="e">
        <f aca="true">INDIRECT("'Ответы на форму (1)'!J"&amp;$N55,TRUE())</f>
        <v>#REF!</v>
      </c>
      <c r="K55" s="12" t="e">
        <f aca="true">INDIRECT("'Ответы на форму (1)'!K"&amp;$N55,TRUE())</f>
        <v>#REF!</v>
      </c>
      <c r="L55" s="12" t="e">
        <f aca="true">INDIRECT("'Ответы на форму (1)'!L"&amp;$N55,TRUE())</f>
        <v>#REF!</v>
      </c>
      <c r="M55" s="0" t="e">
        <f aca="false" t="array" ref="M55:M55">IF(B55 &lt;&gt; "",IF(COUNTIF(concat(TRIM('Список прошлого года'!$B$2:$B$200),TRIM('Список прошлого года'!$C$2:$C$200)),concat(TRIM(B55),TRIM(C55))) &gt; 0,"Да","Нет"),"")</f>
        <v>#REF!</v>
      </c>
      <c r="N55" s="1" t="n">
        <v>59</v>
      </c>
      <c r="O55" s="1" t="n">
        <v>2</v>
      </c>
      <c r="Q55" s="1" t="n">
        <f aca="false">FALSE()</f>
        <v>0</v>
      </c>
      <c r="R55" s="1" t="n">
        <f aca="false">FALSE()</f>
        <v>0</v>
      </c>
      <c r="S55" s="1" t="n">
        <f aca="false">FALSE()</f>
        <v>0</v>
      </c>
      <c r="T55" s="1" t="n">
        <f aca="false">FALSE()</f>
        <v>0</v>
      </c>
      <c r="U55" s="1" t="n">
        <f aca="false">TRUE()</f>
        <v>1</v>
      </c>
      <c r="V55" s="1" t="n">
        <f aca="false">FALSE()</f>
        <v>0</v>
      </c>
      <c r="W55" s="1" t="n">
        <f aca="false">FALSE()</f>
        <v>0</v>
      </c>
      <c r="X55" s="1" t="n">
        <f aca="false">FALSE()</f>
        <v>0</v>
      </c>
      <c r="Y55" s="1" t="n">
        <f aca="false">FALSE()</f>
        <v>0</v>
      </c>
      <c r="Z55" s="1" t="n">
        <f aca="false">FALSE()</f>
        <v>0</v>
      </c>
      <c r="AA55" s="1" t="n">
        <f aca="false">FALSE()</f>
        <v>0</v>
      </c>
      <c r="AB55" s="1" t="n">
        <f aca="false">FALSE()</f>
        <v>0</v>
      </c>
      <c r="AC55" s="1" t="n">
        <f aca="false">FALSE()</f>
        <v>0</v>
      </c>
      <c r="AD55" s="1" t="n">
        <f aca="false">FALSE()</f>
        <v>0</v>
      </c>
      <c r="AE55" s="1" t="n">
        <f aca="false">FALSE()</f>
        <v>0</v>
      </c>
      <c r="AF55" s="1" t="n">
        <f aca="false">FALSE()</f>
        <v>0</v>
      </c>
      <c r="AG55" s="1" t="n">
        <f aca="false">FALSE()</f>
        <v>0</v>
      </c>
      <c r="AH55" s="1" t="n">
        <f aca="false">FALSE()</f>
        <v>0</v>
      </c>
      <c r="AI55" s="1" t="n">
        <f aca="false">FALSE()</f>
        <v>0</v>
      </c>
      <c r="AJ55" s="1" t="n">
        <f aca="false">FALSE()</f>
        <v>0</v>
      </c>
      <c r="AK55" s="1" t="n">
        <f aca="false" t="array" ref="AK55:AK55">SUM(IF(Q55:U55,1,0))</f>
        <v>1</v>
      </c>
      <c r="AL55" s="14" t="n">
        <f aca="false" t="array" ref="AL55:AL55">SUM(IF(V55:Z55,1,0))</f>
        <v>0</v>
      </c>
      <c r="AM55" s="14" t="n">
        <f aca="false" t="array" ref="AM55:AM55">SUM(IF(AA55:AE55,1,0))</f>
        <v>0</v>
      </c>
      <c r="AN55" s="14" t="n">
        <f aca="false" t="array" ref="AN55:AN55">SUM(IF(AF55:AJ55,1,0))</f>
        <v>0</v>
      </c>
      <c r="AO55" s="1" t="n">
        <f aca="false">FALSE()</f>
        <v>0</v>
      </c>
      <c r="AP55" s="1" t="n">
        <f aca="false">IF(O55 = 2,COUNTIF(Q55:AJ55,"TRUE"),-1)</f>
        <v>1</v>
      </c>
    </row>
    <row r="56" customFormat="false" ht="15.75" hidden="false" customHeight="false" outlineLevel="0" collapsed="false">
      <c r="A56" s="8" t="e">
        <f aca="true">INDIRECT("'Ответы на форму (1)'!A"&amp;$N56,TRUE())</f>
        <v>#REF!</v>
      </c>
      <c r="B56" s="0" t="e">
        <f aca="true">INDIRECT("'Ответы на форму (1)'!B"&amp;$N56,TRUE())</f>
        <v>#REF!</v>
      </c>
      <c r="C56" s="0" t="e">
        <f aca="true">INDIRECT("'Ответы на форму (1)'!C"&amp;$N56,TRUE())</f>
        <v>#REF!</v>
      </c>
      <c r="D56" s="0" t="e">
        <f aca="true">INDIRECT("'Ответы на форму (1)'!D"&amp;$N56,TRUE())</f>
        <v>#REF!</v>
      </c>
      <c r="E56" s="0" t="n">
        <f aca="false">IFERROR(__xludf.dummyfunction("iferror(VALUE(REGEXEXTRACT(TEXT(INDIRECT(""'Ответы на форму (1)'!E""&amp;$N56,TRUE),""####""),""[0-9]+"")),IF(IFERROR(SEARCH(""моцро"",INDIRECT(""'Ответы на форму (1)'!E""&amp;$N56,TRUE)),-1) &gt;= 0,117,INDIRECT(""'Ответы на форму (1)'!E""&amp;$N56,TRUE)))"),66)</f>
        <v>66</v>
      </c>
      <c r="F56" s="0" t="e">
        <f aca="true">INDIRECT("'Ответы на форму (1)'!F"&amp;$N56,TRUE())</f>
        <v>#REF!</v>
      </c>
      <c r="G56" s="9" t="e">
        <f aca="true">IFERROR(MID(INDIRECT("'Ответы на форму (1)'!G"&amp;$N56,TRUE()),SEARCH("vk.com",INDIRECT("'Ответы на форму (1)'!G"&amp;$N56,TRUE())),LEN(INDIRECT("'Ответы на форму (1)'!G"&amp;$N56,TRUE()))),INDIRECT("'Ответы на форму (1)'!G"&amp;$N56,TRUE()))</f>
        <v>#REF!</v>
      </c>
      <c r="H56" s="0" t="e">
        <f aca="true">INDIRECT("'Ответы на форму (1)'!H"&amp;$N56,TRUE())</f>
        <v>#REF!</v>
      </c>
      <c r="I56" s="12" t="e">
        <f aca="true">INDIRECT("'Ответы на форму (1)'!I"&amp;$N56,TRUE())</f>
        <v>#REF!</v>
      </c>
      <c r="J56" s="12" t="e">
        <f aca="true">INDIRECT("'Ответы на форму (1)'!J"&amp;$N56,TRUE())</f>
        <v>#REF!</v>
      </c>
      <c r="K56" s="12" t="e">
        <f aca="true">INDIRECT("'Ответы на форму (1)'!K"&amp;$N56,TRUE())</f>
        <v>#REF!</v>
      </c>
      <c r="L56" s="12" t="e">
        <f aca="true">INDIRECT("'Ответы на форму (1)'!L"&amp;$N56,TRUE())</f>
        <v>#REF!</v>
      </c>
      <c r="M56" s="0" t="e">
        <f aca="false" t="array" ref="M56:M56">IF(B56 &lt;&gt; "",IF(COUNTIF(concat(TRIM('Список прошлого года'!$B$2:$B$200),TRIM('Список прошлого года'!$C$2:$C$200)),concat(TRIM(B56),TRIM(C56))) &gt; 0,"Да","Нет"),"")</f>
        <v>#REF!</v>
      </c>
      <c r="N56" s="1" t="n">
        <v>60</v>
      </c>
      <c r="O56" s="13" t="n">
        <v>2</v>
      </c>
      <c r="Q56" s="1" t="n">
        <f aca="false">TRUE()</f>
        <v>1</v>
      </c>
      <c r="R56" s="1" t="n">
        <f aca="false">TRUE()</f>
        <v>1</v>
      </c>
      <c r="S56" s="1" t="n">
        <f aca="false">TRUE()</f>
        <v>1</v>
      </c>
      <c r="T56" s="1" t="n">
        <f aca="false">TRUE()</f>
        <v>1</v>
      </c>
      <c r="U56" s="1" t="n">
        <f aca="false">TRUE()</f>
        <v>1</v>
      </c>
      <c r="V56" s="1" t="n">
        <f aca="false">TRUE()</f>
        <v>1</v>
      </c>
      <c r="W56" s="1" t="n">
        <f aca="false">TRUE()</f>
        <v>1</v>
      </c>
      <c r="X56" s="1" t="n">
        <f aca="false">TRUE()</f>
        <v>1</v>
      </c>
      <c r="Y56" s="1" t="n">
        <f aca="false">TRUE()</f>
        <v>1</v>
      </c>
      <c r="Z56" s="1" t="n">
        <f aca="false">TRUE()</f>
        <v>1</v>
      </c>
      <c r="AA56" s="1" t="n">
        <f aca="false">TRUE()</f>
        <v>1</v>
      </c>
      <c r="AB56" s="1" t="n">
        <f aca="false">TRUE()</f>
        <v>1</v>
      </c>
      <c r="AC56" s="1" t="n">
        <f aca="false">TRUE()</f>
        <v>1</v>
      </c>
      <c r="AD56" s="1" t="n">
        <f aca="false">TRUE()</f>
        <v>1</v>
      </c>
      <c r="AE56" s="1" t="n">
        <f aca="false">TRUE()</f>
        <v>1</v>
      </c>
      <c r="AF56" s="1" t="n">
        <f aca="false">TRUE()</f>
        <v>1</v>
      </c>
      <c r="AG56" s="1" t="n">
        <f aca="false">TRUE()</f>
        <v>1</v>
      </c>
      <c r="AH56" s="1" t="n">
        <f aca="false">TRUE()</f>
        <v>1</v>
      </c>
      <c r="AI56" s="1" t="n">
        <f aca="false">TRUE()</f>
        <v>1</v>
      </c>
      <c r="AJ56" s="1" t="n">
        <f aca="false">TRUE()</f>
        <v>1</v>
      </c>
      <c r="AK56" s="1" t="n">
        <f aca="false" t="array" ref="AK56:AK56">SUM(IF(Q56:U56,1,0))</f>
        <v>5</v>
      </c>
      <c r="AL56" s="14" t="n">
        <f aca="false" t="array" ref="AL56:AL56">SUM(IF(V56:Z56,1,0))</f>
        <v>5</v>
      </c>
      <c r="AM56" s="14" t="n">
        <f aca="false" t="array" ref="AM56:AM56">SUM(IF(AA56:AE56,1,0))</f>
        <v>5</v>
      </c>
      <c r="AN56" s="14" t="n">
        <f aca="false" t="array" ref="AN56:AN56">SUM(IF(AF56:AJ56,1,0))</f>
        <v>5</v>
      </c>
      <c r="AO56" s="1" t="n">
        <f aca="false">FALSE()</f>
        <v>0</v>
      </c>
      <c r="AP56" s="1" t="n">
        <f aca="false">IF(O56 = 2,COUNTIF(Q56:AJ56,"TRUE"),-1)</f>
        <v>20</v>
      </c>
    </row>
    <row r="57" customFormat="false" ht="15.75" hidden="false" customHeight="false" outlineLevel="0" collapsed="false">
      <c r="A57" s="8" t="e">
        <f aca="true">INDIRECT("'Ответы на форму (1)'!A"&amp;$N57,TRUE())</f>
        <v>#REF!</v>
      </c>
      <c r="B57" s="0" t="e">
        <f aca="true">INDIRECT("'Ответы на форму (1)'!B"&amp;$N57,TRUE())</f>
        <v>#REF!</v>
      </c>
      <c r="C57" s="0" t="e">
        <f aca="true">INDIRECT("'Ответы на форму (1)'!C"&amp;$N57,TRUE())</f>
        <v>#REF!</v>
      </c>
      <c r="D57" s="0" t="e">
        <f aca="true">INDIRECT("'Ответы на форму (1)'!D"&amp;$N57,TRUE())</f>
        <v>#REF!</v>
      </c>
      <c r="E57" s="0" t="n">
        <f aca="false">IFERROR(__xludf.dummyfunction("iferror(VALUE(REGEXEXTRACT(TEXT(INDIRECT(""'Ответы на форму (1)'!E""&amp;$N57,TRUE),""####""),""[0-9]+"")),IF(IFERROR(SEARCH(""моцро"",INDIRECT(""'Ответы на форму (1)'!E""&amp;$N57,TRUE)),-1) &gt;= 0,117,INDIRECT(""'Ответы на форму (1)'!E""&amp;$N57,TRUE)))"),64)</f>
        <v>64</v>
      </c>
      <c r="F57" s="0" t="e">
        <f aca="true">INDIRECT("'Ответы на форму (1)'!F"&amp;$N57,TRUE())</f>
        <v>#REF!</v>
      </c>
      <c r="G57" s="9" t="e">
        <f aca="true">IFERROR(MID(INDIRECT("'Ответы на форму (1)'!G"&amp;$N57,TRUE()),SEARCH("vk.com",INDIRECT("'Ответы на форму (1)'!G"&amp;$N57,TRUE())),LEN(INDIRECT("'Ответы на форму (1)'!G"&amp;$N57,TRUE()))),INDIRECT("'Ответы на форму (1)'!G"&amp;$N57,TRUE()))</f>
        <v>#REF!</v>
      </c>
      <c r="H57" s="0" t="e">
        <f aca="true">INDIRECT("'Ответы на форму (1)'!H"&amp;$N57,TRUE())</f>
        <v>#REF!</v>
      </c>
      <c r="I57" s="12" t="e">
        <f aca="true">INDIRECT("'Ответы на форму (1)'!I"&amp;$N57,TRUE())</f>
        <v>#REF!</v>
      </c>
      <c r="J57" s="12" t="e">
        <f aca="true">INDIRECT("'Ответы на форму (1)'!J"&amp;$N57,TRUE())</f>
        <v>#REF!</v>
      </c>
      <c r="K57" s="12" t="e">
        <f aca="true">INDIRECT("'Ответы на форму (1)'!K"&amp;$N57,TRUE())</f>
        <v>#REF!</v>
      </c>
      <c r="L57" s="12" t="e">
        <f aca="true">INDIRECT("'Ответы на форму (1)'!L"&amp;$N57,TRUE())</f>
        <v>#REF!</v>
      </c>
      <c r="M57" s="0" t="e">
        <f aca="false" t="array" ref="M57:M57">IF(B57 &lt;&gt; "",IF(COUNTIF(concat(TRIM('Список прошлого года'!$B$2:$B$200),TRIM('Список прошлого года'!$C$2:$C$200)),concat(TRIM(B57),TRIM(C57))) &gt; 0,"Да","Нет"),"")</f>
        <v>#REF!</v>
      </c>
      <c r="N57" s="1" t="n">
        <v>61</v>
      </c>
      <c r="O57" s="13" t="n">
        <v>2</v>
      </c>
      <c r="Q57" s="1" t="n">
        <f aca="false">FALSE()</f>
        <v>0</v>
      </c>
      <c r="R57" s="1" t="n">
        <f aca="false">TRUE()</f>
        <v>1</v>
      </c>
      <c r="S57" s="1" t="n">
        <f aca="false">TRUE()</f>
        <v>1</v>
      </c>
      <c r="T57" s="1" t="n">
        <f aca="false">TRUE()</f>
        <v>1</v>
      </c>
      <c r="U57" s="1" t="n">
        <f aca="false">FALSE()</f>
        <v>0</v>
      </c>
      <c r="V57" s="1" t="n">
        <f aca="false">TRUE()</f>
        <v>1</v>
      </c>
      <c r="W57" s="1" t="n">
        <f aca="false">TRUE()</f>
        <v>1</v>
      </c>
      <c r="X57" s="1" t="n">
        <f aca="false">TRUE()</f>
        <v>1</v>
      </c>
      <c r="Y57" s="1" t="n">
        <f aca="false">TRUE()</f>
        <v>1</v>
      </c>
      <c r="Z57" s="1" t="n">
        <f aca="false">FALSE()</f>
        <v>0</v>
      </c>
      <c r="AA57" s="1" t="n">
        <f aca="false">TRUE()</f>
        <v>1</v>
      </c>
      <c r="AB57" s="1" t="n">
        <f aca="false">TRUE()</f>
        <v>1</v>
      </c>
      <c r="AC57" s="1" t="n">
        <f aca="false">TRUE()</f>
        <v>1</v>
      </c>
      <c r="AD57" s="1" t="n">
        <f aca="false">FALSE()</f>
        <v>0</v>
      </c>
      <c r="AE57" s="1" t="n">
        <f aca="false">FALSE()</f>
        <v>0</v>
      </c>
      <c r="AF57" s="1" t="n">
        <f aca="false">TRUE()</f>
        <v>1</v>
      </c>
      <c r="AG57" s="1" t="n">
        <f aca="false">TRUE()</f>
        <v>1</v>
      </c>
      <c r="AH57" s="1" t="n">
        <f aca="false">TRUE()</f>
        <v>1</v>
      </c>
      <c r="AI57" s="1" t="n">
        <f aca="false">FALSE()</f>
        <v>0</v>
      </c>
      <c r="AJ57" s="1" t="n">
        <f aca="false">FALSE()</f>
        <v>0</v>
      </c>
      <c r="AK57" s="1" t="n">
        <f aca="false" t="array" ref="AK57:AK57">SUM(IF(Q57:U57,1,0))</f>
        <v>3</v>
      </c>
      <c r="AL57" s="14" t="n">
        <f aca="false" t="array" ref="AL57:AL57">SUM(IF(V57:Z57,1,0))</f>
        <v>4</v>
      </c>
      <c r="AM57" s="14" t="n">
        <f aca="false" t="array" ref="AM57:AM57">SUM(IF(AA57:AE57,1,0))</f>
        <v>3</v>
      </c>
      <c r="AN57" s="14" t="n">
        <f aca="false" t="array" ref="AN57:AN57">SUM(IF(AF57:AJ57,1,0))</f>
        <v>3</v>
      </c>
      <c r="AO57" s="1" t="n">
        <f aca="false">FALSE()</f>
        <v>0</v>
      </c>
      <c r="AP57" s="1" t="n">
        <f aca="false">IF(O57 = 2,COUNTIF(Q57:AJ57,"TRUE"),-1)</f>
        <v>13</v>
      </c>
    </row>
    <row r="58" customFormat="false" ht="15.75" hidden="false" customHeight="false" outlineLevel="0" collapsed="false">
      <c r="A58" s="8" t="e">
        <f aca="true">INDIRECT("'Ответы на форму (1)'!A"&amp;$N58,TRUE())</f>
        <v>#REF!</v>
      </c>
      <c r="B58" s="0" t="e">
        <f aca="true">INDIRECT("'Ответы на форму (1)'!B"&amp;$N58,TRUE())</f>
        <v>#REF!</v>
      </c>
      <c r="C58" s="0" t="e">
        <f aca="true">INDIRECT("'Ответы на форму (1)'!C"&amp;$N58,TRUE())</f>
        <v>#REF!</v>
      </c>
      <c r="D58" s="0" t="e">
        <f aca="true">INDIRECT("'Ответы на форму (1)'!D"&amp;$N58,TRUE())</f>
        <v>#REF!</v>
      </c>
      <c r="E58" s="0" t="n">
        <f aca="false">IFERROR(__xludf.dummyfunction("iferror(VALUE(REGEXEXTRACT(TEXT(INDIRECT(""'Ответы на форму (1)'!E""&amp;$N58,TRUE),""####""),""[0-9]+"")),IF(IFERROR(SEARCH(""моцро"",INDIRECT(""'Ответы на форму (1)'!E""&amp;$N58,TRUE)),-1) &gt;= 0,117,INDIRECT(""'Ответы на форму (1)'!E""&amp;$N58,TRUE)))"),117)</f>
        <v>117</v>
      </c>
      <c r="F58" s="0" t="e">
        <f aca="true">INDIRECT("'Ответы на форму (1)'!F"&amp;$N58,TRUE())</f>
        <v>#REF!</v>
      </c>
      <c r="G58" s="0" t="e">
        <f aca="true">IFERROR(MID(INDIRECT("'Ответы на форму (1)'!G"&amp;$N58,TRUE()),SEARCH("vk.com",INDIRECT("'Ответы на форму (1)'!G"&amp;$N58,TRUE())),LEN(INDIRECT("'Ответы на форму (1)'!G"&amp;$N58,TRUE()))),INDIRECT("'Ответы на форму (1)'!G"&amp;$N58,TRUE()))</f>
        <v>#REF!</v>
      </c>
      <c r="H58" s="0" t="e">
        <f aca="true">INDIRECT("'Ответы на форму (1)'!H"&amp;$N58,TRUE())</f>
        <v>#REF!</v>
      </c>
      <c r="I58" s="12" t="e">
        <f aca="true">INDIRECT("'Ответы на форму (1)'!I"&amp;$N58,TRUE())</f>
        <v>#REF!</v>
      </c>
      <c r="J58" s="12" t="e">
        <f aca="true">INDIRECT("'Ответы на форму (1)'!J"&amp;$N58,TRUE())</f>
        <v>#REF!</v>
      </c>
      <c r="K58" s="12" t="e">
        <f aca="true">INDIRECT("'Ответы на форму (1)'!K"&amp;$N58,TRUE())</f>
        <v>#REF!</v>
      </c>
      <c r="L58" s="12" t="e">
        <f aca="true">INDIRECT("'Ответы на форму (1)'!L"&amp;$N58,TRUE())</f>
        <v>#REF!</v>
      </c>
      <c r="M58" s="0" t="e">
        <f aca="false" t="array" ref="M58:M58">IF(B58 &lt;&gt; "",IF(COUNTIF(concat(TRIM('Список прошлого года'!$B$2:$B$200),TRIM('Список прошлого года'!$C$2:$C$200)),concat(TRIM(B58),TRIM(C58))) &gt; 0,"Да","Нет"),"")</f>
        <v>#REF!</v>
      </c>
      <c r="N58" s="1" t="n">
        <v>62</v>
      </c>
      <c r="O58" s="1" t="n">
        <v>2</v>
      </c>
      <c r="Q58" s="1" t="n">
        <f aca="false">TRUE()</f>
        <v>1</v>
      </c>
      <c r="R58" s="1" t="n">
        <f aca="false">TRUE()</f>
        <v>1</v>
      </c>
      <c r="S58" s="1" t="n">
        <f aca="false">TRUE()</f>
        <v>1</v>
      </c>
      <c r="T58" s="1" t="n">
        <f aca="false">TRUE()</f>
        <v>1</v>
      </c>
      <c r="U58" s="1" t="n">
        <f aca="false">TRUE()</f>
        <v>1</v>
      </c>
      <c r="V58" s="1" t="n">
        <f aca="false">TRUE()</f>
        <v>1</v>
      </c>
      <c r="W58" s="1" t="n">
        <f aca="false">TRUE()</f>
        <v>1</v>
      </c>
      <c r="X58" s="1" t="n">
        <f aca="false">TRUE()</f>
        <v>1</v>
      </c>
      <c r="Y58" s="1" t="n">
        <f aca="false">TRUE()</f>
        <v>1</v>
      </c>
      <c r="Z58" s="1" t="n">
        <f aca="false">TRUE()</f>
        <v>1</v>
      </c>
      <c r="AA58" s="1" t="n">
        <f aca="false">TRUE()</f>
        <v>1</v>
      </c>
      <c r="AB58" s="1" t="n">
        <f aca="false">TRUE()</f>
        <v>1</v>
      </c>
      <c r="AC58" s="1" t="n">
        <f aca="false">TRUE()</f>
        <v>1</v>
      </c>
      <c r="AD58" s="1" t="n">
        <f aca="false">TRUE()</f>
        <v>1</v>
      </c>
      <c r="AE58" s="1" t="n">
        <f aca="false">TRUE()</f>
        <v>1</v>
      </c>
      <c r="AF58" s="1" t="n">
        <f aca="false">TRUE()</f>
        <v>1</v>
      </c>
      <c r="AG58" s="1" t="n">
        <f aca="false">TRUE()</f>
        <v>1</v>
      </c>
      <c r="AH58" s="1" t="n">
        <f aca="false">TRUE()</f>
        <v>1</v>
      </c>
      <c r="AI58" s="1" t="n">
        <f aca="false">TRUE()</f>
        <v>1</v>
      </c>
      <c r="AJ58" s="1" t="n">
        <f aca="false">TRUE()</f>
        <v>1</v>
      </c>
      <c r="AK58" s="1" t="n">
        <f aca="false" t="array" ref="AK58:AK58">SUM(IF(Q58:U58,1,0))</f>
        <v>5</v>
      </c>
      <c r="AL58" s="14" t="n">
        <f aca="false" t="array" ref="AL58:AL58">SUM(IF(V58:Z58,1,0))</f>
        <v>5</v>
      </c>
      <c r="AM58" s="14" t="n">
        <f aca="false" t="array" ref="AM58:AM58">SUM(IF(AA58:AE58,1,0))</f>
        <v>5</v>
      </c>
      <c r="AN58" s="14" t="n">
        <f aca="false" t="array" ref="AN58:AN58">SUM(IF(AF58:AJ58,1,0))</f>
        <v>5</v>
      </c>
      <c r="AO58" s="1" t="n">
        <f aca="false">FALSE()</f>
        <v>0</v>
      </c>
      <c r="AP58" s="1" t="n">
        <f aca="false">IF(O58 = 2,COUNTIF(Q58:AJ58,"TRUE"),-1)</f>
        <v>20</v>
      </c>
    </row>
    <row r="59" customFormat="false" ht="15.75" hidden="false" customHeight="false" outlineLevel="0" collapsed="false">
      <c r="A59" s="8" t="e">
        <f aca="true">INDIRECT("'Ответы на форму (1)'!A"&amp;$N59,TRUE())</f>
        <v>#REF!</v>
      </c>
      <c r="B59" s="0" t="e">
        <f aca="true">INDIRECT("'Ответы на форму (1)'!B"&amp;$N59,TRUE())</f>
        <v>#REF!</v>
      </c>
      <c r="C59" s="0" t="e">
        <f aca="true">INDIRECT("'Ответы на форму (1)'!C"&amp;$N59,TRUE())</f>
        <v>#REF!</v>
      </c>
      <c r="D59" s="0" t="e">
        <f aca="true">INDIRECT("'Ответы на форму (1)'!D"&amp;$N59,TRUE())</f>
        <v>#REF!</v>
      </c>
      <c r="E59" s="0" t="n">
        <f aca="false">IFERROR(__xludf.dummyfunction("iferror(VALUE(REGEXEXTRACT(TEXT(INDIRECT(""'Ответы на форму (1)'!E""&amp;$N59,TRUE),""####""),""[0-9]+"")),IF(IFERROR(SEARCH(""моцро"",INDIRECT(""'Ответы на форму (1)'!E""&amp;$N59,TRUE)),-1) &gt;= 0,117,INDIRECT(""'Ответы на форму (1)'!E""&amp;$N59,TRUE)))"),117)</f>
        <v>117</v>
      </c>
      <c r="F59" s="0" t="e">
        <f aca="true">INDIRECT("'Ответы на форму (1)'!F"&amp;$N59,TRUE())</f>
        <v>#REF!</v>
      </c>
      <c r="G59" s="9" t="e">
        <f aca="true">IFERROR(MID(INDIRECT("'Ответы на форму (1)'!G"&amp;$N59,TRUE()),SEARCH("vk.com",INDIRECT("'Ответы на форму (1)'!G"&amp;$N59,TRUE())),LEN(INDIRECT("'Ответы на форму (1)'!G"&amp;$N59,TRUE()))),INDIRECT("'Ответы на форму (1)'!G"&amp;$N59,TRUE()))</f>
        <v>#REF!</v>
      </c>
      <c r="H59" s="0" t="e">
        <f aca="true">INDIRECT("'Ответы на форму (1)'!H"&amp;$N59,TRUE())</f>
        <v>#REF!</v>
      </c>
      <c r="I59" s="12" t="e">
        <f aca="true">INDIRECT("'Ответы на форму (1)'!I"&amp;$N59,TRUE())</f>
        <v>#REF!</v>
      </c>
      <c r="J59" s="12" t="e">
        <f aca="true">INDIRECT("'Ответы на форму (1)'!J"&amp;$N59,TRUE())</f>
        <v>#REF!</v>
      </c>
      <c r="K59" s="12" t="e">
        <f aca="true">INDIRECT("'Ответы на форму (1)'!K"&amp;$N59,TRUE())</f>
        <v>#REF!</v>
      </c>
      <c r="L59" s="12" t="e">
        <f aca="true">INDIRECT("'Ответы на форму (1)'!L"&amp;$N59,TRUE())</f>
        <v>#REF!</v>
      </c>
      <c r="M59" s="0" t="e">
        <f aca="false" t="array" ref="M59:M59">IF(B59 &lt;&gt; "",IF(COUNTIF(concat(TRIM('Список прошлого года'!$B$2:$B$200),TRIM('Список прошлого года'!$C$2:$C$200)),concat(TRIM(B59),TRIM(C59))) &gt; 0,"Да","Нет"),"")</f>
        <v>#REF!</v>
      </c>
      <c r="N59" s="1" t="n">
        <v>63</v>
      </c>
      <c r="O59" s="1" t="n">
        <v>2</v>
      </c>
      <c r="P59" s="1" t="s">
        <v>783</v>
      </c>
      <c r="Q59" s="1" t="n">
        <f aca="false">TRUE()</f>
        <v>1</v>
      </c>
      <c r="R59" s="1" t="n">
        <f aca="false">TRUE()</f>
        <v>1</v>
      </c>
      <c r="S59" s="1" t="n">
        <f aca="false">TRUE()</f>
        <v>1</v>
      </c>
      <c r="T59" s="1" t="n">
        <f aca="false">TRUE()</f>
        <v>1</v>
      </c>
      <c r="U59" s="1" t="n">
        <f aca="false">TRUE()</f>
        <v>1</v>
      </c>
      <c r="V59" s="1" t="n">
        <f aca="false">TRUE()</f>
        <v>1</v>
      </c>
      <c r="W59" s="1" t="n">
        <f aca="false">TRUE()</f>
        <v>1</v>
      </c>
      <c r="X59" s="1" t="n">
        <f aca="false">TRUE()</f>
        <v>1</v>
      </c>
      <c r="Y59" s="1" t="n">
        <f aca="false">TRUE()</f>
        <v>1</v>
      </c>
      <c r="Z59" s="1" t="n">
        <f aca="false">TRUE()</f>
        <v>1</v>
      </c>
      <c r="AA59" s="1" t="n">
        <f aca="false">TRUE()</f>
        <v>1</v>
      </c>
      <c r="AB59" s="1" t="n">
        <f aca="false">TRUE()</f>
        <v>1</v>
      </c>
      <c r="AC59" s="1" t="n">
        <f aca="false">TRUE()</f>
        <v>1</v>
      </c>
      <c r="AD59" s="1" t="n">
        <f aca="false">TRUE()</f>
        <v>1</v>
      </c>
      <c r="AE59" s="1" t="n">
        <f aca="false">FALSE()</f>
        <v>0</v>
      </c>
      <c r="AF59" s="1" t="n">
        <f aca="false">TRUE()</f>
        <v>1</v>
      </c>
      <c r="AG59" s="1" t="n">
        <f aca="false">TRUE()</f>
        <v>1</v>
      </c>
      <c r="AH59" s="1" t="n">
        <f aca="false">TRUE()</f>
        <v>1</v>
      </c>
      <c r="AI59" s="1" t="n">
        <f aca="false">TRUE()</f>
        <v>1</v>
      </c>
      <c r="AJ59" s="1" t="n">
        <f aca="false">TRUE()</f>
        <v>1</v>
      </c>
      <c r="AK59" s="1" t="n">
        <f aca="false" t="array" ref="AK59:AK59">SUM(IF(Q59:U59,1,0))</f>
        <v>5</v>
      </c>
      <c r="AL59" s="14" t="n">
        <f aca="false" t="array" ref="AL59:AL59">SUM(IF(V59:Z59,1,0))</f>
        <v>5</v>
      </c>
      <c r="AM59" s="14" t="n">
        <f aca="false" t="array" ref="AM59:AM59">SUM(IF(AA59:AE59,1,0))</f>
        <v>4</v>
      </c>
      <c r="AN59" s="14" t="n">
        <f aca="false" t="array" ref="AN59:AN59">SUM(IF(AF59:AJ59,1,0))</f>
        <v>5</v>
      </c>
      <c r="AO59" s="1" t="n">
        <f aca="false">FALSE()</f>
        <v>0</v>
      </c>
      <c r="AP59" s="1" t="n">
        <f aca="false">IF(O59 = 2,COUNTIF(Q59:AJ59,"TRUE"),-1)</f>
        <v>19</v>
      </c>
    </row>
    <row r="60" customFormat="false" ht="15.75" hidden="false" customHeight="false" outlineLevel="0" collapsed="false">
      <c r="A60" s="8" t="e">
        <f aca="true">INDIRECT("'Ответы на форму (1)'!A"&amp;$N60,TRUE())</f>
        <v>#REF!</v>
      </c>
      <c r="B60" s="0" t="e">
        <f aca="true">INDIRECT("'Ответы на форму (1)'!B"&amp;$N60,TRUE())</f>
        <v>#REF!</v>
      </c>
      <c r="C60" s="0" t="e">
        <f aca="true">INDIRECT("'Ответы на форму (1)'!C"&amp;$N60,TRUE())</f>
        <v>#REF!</v>
      </c>
      <c r="D60" s="0" t="e">
        <f aca="true">INDIRECT("'Ответы на форму (1)'!D"&amp;$N60,TRUE())</f>
        <v>#REF!</v>
      </c>
      <c r="E60" s="0" t="n">
        <f aca="false">IFERROR(__xludf.dummyfunction("iferror(VALUE(REGEXEXTRACT(TEXT(INDIRECT(""'Ответы на форму (1)'!E""&amp;$N60,TRUE),""####""),""[0-9]+"")),IF(IFERROR(SEARCH(""моцро"",INDIRECT(""'Ответы на форму (1)'!E""&amp;$N60,TRUE)),-1) &gt;= 0,117,INDIRECT(""'Ответы на форму (1)'!E""&amp;$N60,TRUE)))"),117)</f>
        <v>117</v>
      </c>
      <c r="F60" s="0" t="e">
        <f aca="true">INDIRECT("'Ответы на форму (1)'!F"&amp;$N60,TRUE())</f>
        <v>#REF!</v>
      </c>
      <c r="G60" s="9" t="e">
        <f aca="true">IFERROR(MID(INDIRECT("'Ответы на форму (1)'!G"&amp;$N60,TRUE()),SEARCH("vk.com",INDIRECT("'Ответы на форму (1)'!G"&amp;$N60,TRUE())),LEN(INDIRECT("'Ответы на форму (1)'!G"&amp;$N60,TRUE()))),INDIRECT("'Ответы на форму (1)'!G"&amp;$N60,TRUE()))</f>
        <v>#REF!</v>
      </c>
      <c r="H60" s="0" t="e">
        <f aca="true">INDIRECT("'Ответы на форму (1)'!H"&amp;$N60,TRUE())</f>
        <v>#REF!</v>
      </c>
      <c r="I60" s="12" t="e">
        <f aca="true">INDIRECT("'Ответы на форму (1)'!I"&amp;$N60,TRUE())</f>
        <v>#REF!</v>
      </c>
      <c r="J60" s="12" t="e">
        <f aca="true">INDIRECT("'Ответы на форму (1)'!J"&amp;$N60,TRUE())</f>
        <v>#REF!</v>
      </c>
      <c r="K60" s="12" t="e">
        <f aca="true">INDIRECT("'Ответы на форму (1)'!K"&amp;$N60,TRUE())</f>
        <v>#REF!</v>
      </c>
      <c r="L60" s="12" t="e">
        <f aca="true">INDIRECT("'Ответы на форму (1)'!L"&amp;$N60,TRUE())</f>
        <v>#REF!</v>
      </c>
      <c r="M60" s="0" t="e">
        <f aca="false" t="array" ref="M60:M60">IF(B60 &lt;&gt; "",IF(COUNTIF(concat(TRIM('Список прошлого года'!$B$2:$B$200),TRIM('Список прошлого года'!$C$2:$C$200)),concat(TRIM(B60),TRIM(C60))) &gt; 0,"Да","Нет"),"")</f>
        <v>#REF!</v>
      </c>
      <c r="N60" s="1" t="n">
        <v>64</v>
      </c>
      <c r="O60" s="13" t="n">
        <v>2</v>
      </c>
      <c r="Q60" s="1" t="n">
        <f aca="false">TRUE()</f>
        <v>1</v>
      </c>
      <c r="R60" s="1" t="n">
        <f aca="false">TRUE()</f>
        <v>1</v>
      </c>
      <c r="S60" s="1" t="n">
        <f aca="false">TRUE()</f>
        <v>1</v>
      </c>
      <c r="T60" s="1" t="n">
        <f aca="false">TRUE()</f>
        <v>1</v>
      </c>
      <c r="U60" s="1" t="n">
        <f aca="false">FALSE()</f>
        <v>0</v>
      </c>
      <c r="V60" s="1" t="n">
        <f aca="false">TRUE()</f>
        <v>1</v>
      </c>
      <c r="W60" s="1" t="n">
        <f aca="false">TRUE()</f>
        <v>1</v>
      </c>
      <c r="X60" s="1" t="n">
        <f aca="false">TRUE()</f>
        <v>1</v>
      </c>
      <c r="Y60" s="1" t="n">
        <f aca="false">TRUE()</f>
        <v>1</v>
      </c>
      <c r="Z60" s="1" t="n">
        <f aca="false">FALSE()</f>
        <v>0</v>
      </c>
      <c r="AA60" s="1" t="n">
        <f aca="false">FALSE()</f>
        <v>0</v>
      </c>
      <c r="AB60" s="1" t="n">
        <f aca="false">TRUE()</f>
        <v>1</v>
      </c>
      <c r="AC60" s="1" t="n">
        <f aca="false">TRUE()</f>
        <v>1</v>
      </c>
      <c r="AD60" s="1" t="n">
        <f aca="false">FALSE()</f>
        <v>0</v>
      </c>
      <c r="AE60" s="1" t="n">
        <f aca="false">FALSE()</f>
        <v>0</v>
      </c>
      <c r="AF60" s="1" t="n">
        <f aca="false">FALSE()</f>
        <v>0</v>
      </c>
      <c r="AG60" s="1" t="n">
        <f aca="false">TRUE()</f>
        <v>1</v>
      </c>
      <c r="AH60" s="1" t="n">
        <f aca="false">TRUE()</f>
        <v>1</v>
      </c>
      <c r="AI60" s="1" t="n">
        <f aca="false">FALSE()</f>
        <v>0</v>
      </c>
      <c r="AJ60" s="1" t="n">
        <f aca="false">FALSE()</f>
        <v>0</v>
      </c>
      <c r="AK60" s="1" t="n">
        <f aca="false" t="array" ref="AK60:AK60">SUM(IF(Q60:U60,1,0))</f>
        <v>4</v>
      </c>
      <c r="AL60" s="14" t="n">
        <f aca="false" t="array" ref="AL60:AL60">SUM(IF(V60:Z60,1,0))</f>
        <v>4</v>
      </c>
      <c r="AM60" s="14" t="n">
        <f aca="false" t="array" ref="AM60:AM60">SUM(IF(AA60:AE60,1,0))</f>
        <v>2</v>
      </c>
      <c r="AN60" s="14" t="n">
        <f aca="false" t="array" ref="AN60:AN60">SUM(IF(AF60:AJ60,1,0))</f>
        <v>2</v>
      </c>
      <c r="AO60" s="1" t="n">
        <f aca="false">FALSE()</f>
        <v>0</v>
      </c>
      <c r="AP60" s="1" t="n">
        <f aca="false">IF(O60 = 2,COUNTIF(Q60:AJ60,"TRUE"),-1)</f>
        <v>12</v>
      </c>
    </row>
    <row r="61" customFormat="false" ht="15.75" hidden="false" customHeight="false" outlineLevel="0" collapsed="false">
      <c r="A61" s="8" t="e">
        <f aca="true">INDIRECT("'Ответы на форму (1)'!A"&amp;$N61,TRUE())</f>
        <v>#REF!</v>
      </c>
      <c r="B61" s="0" t="e">
        <f aca="true">INDIRECT("'Ответы на форму (1)'!B"&amp;$N61,TRUE())</f>
        <v>#REF!</v>
      </c>
      <c r="C61" s="0" t="e">
        <f aca="true">INDIRECT("'Ответы на форму (1)'!C"&amp;$N61,TRUE())</f>
        <v>#REF!</v>
      </c>
      <c r="D61" s="0" t="e">
        <f aca="true">INDIRECT("'Ответы на форму (1)'!D"&amp;$N61,TRUE())</f>
        <v>#REF!</v>
      </c>
      <c r="E61" s="0" t="n">
        <f aca="false">IFERROR(__xludf.dummyfunction("iferror(VALUE(REGEXEXTRACT(TEXT(INDIRECT(""'Ответы на форму (1)'!E""&amp;$N61,TRUE),""####""),""[0-9]+"")),IF(IFERROR(SEARCH(""моцро"",INDIRECT(""'Ответы на форму (1)'!E""&amp;$N61,TRUE)),-1) &gt;= 0,117,INDIRECT(""'Ответы на форму (1)'!E""&amp;$N61,TRUE)))"),117)</f>
        <v>117</v>
      </c>
      <c r="F61" s="0" t="e">
        <f aca="true">INDIRECT("'Ответы на форму (1)'!F"&amp;$N61,TRUE())</f>
        <v>#REF!</v>
      </c>
      <c r="G61" s="9" t="e">
        <f aca="true">IFERROR(MID(INDIRECT("'Ответы на форму (1)'!G"&amp;$N61,TRUE()),SEARCH("vk.com",INDIRECT("'Ответы на форму (1)'!G"&amp;$N61,TRUE())),LEN(INDIRECT("'Ответы на форму (1)'!G"&amp;$N61,TRUE()))),INDIRECT("'Ответы на форму (1)'!G"&amp;$N61,TRUE()))</f>
        <v>#REF!</v>
      </c>
      <c r="H61" s="0" t="e">
        <f aca="true">INDIRECT("'Ответы на форму (1)'!H"&amp;$N61,TRUE())</f>
        <v>#REF!</v>
      </c>
      <c r="I61" s="12" t="e">
        <f aca="true">INDIRECT("'Ответы на форму (1)'!I"&amp;$N61,TRUE())</f>
        <v>#REF!</v>
      </c>
      <c r="J61" s="12" t="e">
        <f aca="true">INDIRECT("'Ответы на форму (1)'!J"&amp;$N61,TRUE())</f>
        <v>#REF!</v>
      </c>
      <c r="K61" s="12" t="e">
        <f aca="true">INDIRECT("'Ответы на форму (1)'!K"&amp;$N61,TRUE())</f>
        <v>#REF!</v>
      </c>
      <c r="L61" s="12" t="e">
        <f aca="true">INDIRECT("'Ответы на форму (1)'!L"&amp;$N61,TRUE())</f>
        <v>#REF!</v>
      </c>
      <c r="M61" s="0" t="e">
        <f aca="false" t="array" ref="M61:M61">IF(B61 &lt;&gt; "",IF(COUNTIF(concat(TRIM('Список прошлого года'!$B$2:$B$200),TRIM('Список прошлого года'!$C$2:$C$200)),concat(TRIM(B61),TRIM(C61))) &gt; 0,"Да","Нет"),"")</f>
        <v>#REF!</v>
      </c>
      <c r="N61" s="1" t="n">
        <v>65</v>
      </c>
      <c r="O61" s="1" t="n">
        <v>2</v>
      </c>
      <c r="Q61" s="1" t="n">
        <f aca="false">FALSE()</f>
        <v>0</v>
      </c>
      <c r="R61" s="1" t="n">
        <f aca="false">FALSE()</f>
        <v>0</v>
      </c>
      <c r="S61" s="1" t="n">
        <f aca="false">FALSE()</f>
        <v>0</v>
      </c>
      <c r="T61" s="1" t="n">
        <f aca="false">FALSE()</f>
        <v>0</v>
      </c>
      <c r="U61" s="1" t="n">
        <f aca="false">FALSE()</f>
        <v>0</v>
      </c>
      <c r="V61" s="1" t="n">
        <f aca="false">FALSE()</f>
        <v>0</v>
      </c>
      <c r="W61" s="1" t="n">
        <f aca="false">FALSE()</f>
        <v>0</v>
      </c>
      <c r="X61" s="1" t="n">
        <f aca="false">FALSE()</f>
        <v>0</v>
      </c>
      <c r="Y61" s="1" t="n">
        <f aca="false">FALSE()</f>
        <v>0</v>
      </c>
      <c r="Z61" s="1" t="n">
        <f aca="false">FALSE()</f>
        <v>0</v>
      </c>
      <c r="AA61" s="1" t="n">
        <f aca="false">TRUE()</f>
        <v>1</v>
      </c>
      <c r="AB61" s="1" t="n">
        <f aca="false">TRUE()</f>
        <v>1</v>
      </c>
      <c r="AC61" s="1" t="n">
        <f aca="false">FALSE()</f>
        <v>0</v>
      </c>
      <c r="AD61" s="1" t="n">
        <f aca="false">TRUE()</f>
        <v>1</v>
      </c>
      <c r="AE61" s="1" t="n">
        <f aca="false">FALSE()</f>
        <v>0</v>
      </c>
      <c r="AF61" s="1" t="n">
        <f aca="false">TRUE()</f>
        <v>1</v>
      </c>
      <c r="AG61" s="1" t="n">
        <f aca="false">TRUE()</f>
        <v>1</v>
      </c>
      <c r="AH61" s="1" t="n">
        <f aca="false">FALSE()</f>
        <v>0</v>
      </c>
      <c r="AI61" s="1" t="n">
        <f aca="false">TRUE()</f>
        <v>1</v>
      </c>
      <c r="AJ61" s="1" t="n">
        <f aca="false">TRUE()</f>
        <v>1</v>
      </c>
      <c r="AK61" s="1" t="n">
        <f aca="false" t="array" ref="AK61:AK61">SUM(IF(Q61:U61,1,0))</f>
        <v>0</v>
      </c>
      <c r="AL61" s="14" t="n">
        <f aca="false" t="array" ref="AL61:AL61">SUM(IF(V61:Z61,1,0))</f>
        <v>0</v>
      </c>
      <c r="AM61" s="14" t="n">
        <f aca="false" t="array" ref="AM61:AM61">SUM(IF(AA61:AE61,1,0))</f>
        <v>3</v>
      </c>
      <c r="AN61" s="14" t="n">
        <f aca="false" t="array" ref="AN61:AN61">SUM(IF(AF61:AJ61,1,0))</f>
        <v>4</v>
      </c>
      <c r="AO61" s="1" t="n">
        <f aca="false">FALSE()</f>
        <v>0</v>
      </c>
      <c r="AP61" s="1" t="n">
        <f aca="false">IF(O61 = 2,COUNTIF(Q61:AJ61,"TRUE"),-1)</f>
        <v>7</v>
      </c>
    </row>
    <row r="62" customFormat="false" ht="15.75" hidden="false" customHeight="false" outlineLevel="0" collapsed="false">
      <c r="A62" s="15" t="e">
        <f aca="true">INDIRECT("'Ответы на форму (1)'!A"&amp;$N62,TRUE())</f>
        <v>#REF!</v>
      </c>
      <c r="B62" s="16" t="e">
        <f aca="true">INDIRECT("'Ответы на форму (1)'!B"&amp;$N62,TRUE())</f>
        <v>#REF!</v>
      </c>
      <c r="C62" s="16" t="e">
        <f aca="true">INDIRECT("'Ответы на форму (1)'!C"&amp;$N62,TRUE())</f>
        <v>#REF!</v>
      </c>
      <c r="D62" s="16" t="e">
        <f aca="true">INDIRECT("'Ответы на форму (1)'!D"&amp;$N62,TRUE())</f>
        <v>#REF!</v>
      </c>
      <c r="E62" s="16" t="n">
        <f aca="false">IFERROR(__xludf.dummyfunction("iferror(VALUE(REGEXEXTRACT(TEXT(INDIRECT(""'Ответы на форму (1)'!E""&amp;$N62,TRUE),""####""),""[0-9]+"")),IF(IFERROR(SEARCH(""моцро"",INDIRECT(""'Ответы на форму (1)'!E""&amp;$N62,TRUE)),-1) &gt;= 0,117,INDIRECT(""'Ответы на форму (1)'!E""&amp;$N62,TRUE)))"),117)</f>
        <v>117</v>
      </c>
      <c r="F62" s="16" t="e">
        <f aca="true">INDIRECT("'Ответы на форму (1)'!F"&amp;$N62,TRUE())</f>
        <v>#REF!</v>
      </c>
      <c r="G62" s="17" t="e">
        <f aca="true">IFERROR(MID(INDIRECT("'Ответы на форму (1)'!G"&amp;$N62,TRUE()),SEARCH("vk.com",INDIRECT("'Ответы на форму (1)'!G"&amp;$N62,TRUE())),LEN(INDIRECT("'Ответы на форму (1)'!G"&amp;$N62,TRUE()))),INDIRECT("'Ответы на форму (1)'!G"&amp;$N62,TRUE()))</f>
        <v>#REF!</v>
      </c>
      <c r="H62" s="16" t="e">
        <f aca="true">INDIRECT("'Ответы на форму (1)'!H"&amp;$N62,TRUE())</f>
        <v>#REF!</v>
      </c>
      <c r="I62" s="16" t="e">
        <f aca="true">INDIRECT("'Ответы на форму (1)'!I"&amp;$N62,TRUE())</f>
        <v>#REF!</v>
      </c>
      <c r="J62" s="16" t="e">
        <f aca="true">INDIRECT("'Ответы на форму (1)'!J"&amp;$N62,TRUE())</f>
        <v>#REF!</v>
      </c>
      <c r="K62" s="16" t="e">
        <f aca="true">INDIRECT("'Ответы на форму (1)'!K"&amp;$N62,TRUE())</f>
        <v>#REF!</v>
      </c>
      <c r="L62" s="16" t="e">
        <f aca="true">INDIRECT("'Ответы на форму (1)'!L"&amp;$N62,TRUE())</f>
        <v>#REF!</v>
      </c>
      <c r="M62" s="16" t="e">
        <f aca="false" t="array" ref="M62:M62">IF(B62 &lt;&gt; "",IF(COUNTIF(concat(TRIM('Список прошлого года'!$B$2:$B$200),TRIM('Список прошлого года'!$C$2:$C$200)),concat(TRIM(B62),TRIM(C62))) &gt; 0,"Да","Нет"),"")</f>
        <v>#REF!</v>
      </c>
      <c r="N62" s="19" t="n">
        <v>66</v>
      </c>
      <c r="O62" s="19" t="n">
        <v>2</v>
      </c>
      <c r="P62" s="16"/>
      <c r="Q62" s="19" t="n">
        <f aca="false">TRUE()</f>
        <v>1</v>
      </c>
      <c r="R62" s="19" t="n">
        <f aca="false">TRUE()</f>
        <v>1</v>
      </c>
      <c r="S62" s="19" t="n">
        <f aca="false">FALSE()</f>
        <v>0</v>
      </c>
      <c r="T62" s="19" t="n">
        <f aca="false">FALSE()</f>
        <v>0</v>
      </c>
      <c r="U62" s="19" t="n">
        <f aca="false">FALSE()</f>
        <v>0</v>
      </c>
      <c r="V62" s="19" t="n">
        <f aca="false">TRUE()</f>
        <v>1</v>
      </c>
      <c r="W62" s="19" t="n">
        <f aca="false">TRUE()</f>
        <v>1</v>
      </c>
      <c r="X62" s="19" t="n">
        <f aca="false">FALSE()</f>
        <v>0</v>
      </c>
      <c r="Y62" s="19" t="n">
        <f aca="false">FALSE()</f>
        <v>0</v>
      </c>
      <c r="Z62" s="19" t="n">
        <f aca="false">FALSE()</f>
        <v>0</v>
      </c>
      <c r="AA62" s="19" t="n">
        <f aca="false">TRUE()</f>
        <v>1</v>
      </c>
      <c r="AB62" s="19" t="n">
        <f aca="false">TRUE()</f>
        <v>1</v>
      </c>
      <c r="AC62" s="19" t="n">
        <f aca="false">TRUE()</f>
        <v>1</v>
      </c>
      <c r="AD62" s="19" t="n">
        <f aca="false">TRUE()</f>
        <v>1</v>
      </c>
      <c r="AE62" s="19" t="n">
        <f aca="false">TRUE()</f>
        <v>1</v>
      </c>
      <c r="AF62" s="19" t="n">
        <f aca="false">TRUE()</f>
        <v>1</v>
      </c>
      <c r="AG62" s="19" t="n">
        <f aca="false">TRUE()</f>
        <v>1</v>
      </c>
      <c r="AH62" s="19" t="n">
        <f aca="false">TRUE()</f>
        <v>1</v>
      </c>
      <c r="AI62" s="19" t="n">
        <f aca="false">TRUE()</f>
        <v>1</v>
      </c>
      <c r="AJ62" s="19" t="n">
        <f aca="false">TRUE()</f>
        <v>1</v>
      </c>
      <c r="AK62" s="19" t="n">
        <f aca="false" t="array" ref="AK62:AK62">SUM(IF(Q62:U62,1,0))</f>
        <v>2</v>
      </c>
      <c r="AL62" s="20" t="n">
        <f aca="false" t="array" ref="AL62:AL62">SUM(IF(V62:Z62,1,0))</f>
        <v>2</v>
      </c>
      <c r="AM62" s="20" t="n">
        <f aca="false" t="array" ref="AM62:AM62">SUM(IF(AA62:AE62,1,0))</f>
        <v>5</v>
      </c>
      <c r="AN62" s="20" t="n">
        <f aca="false" t="array" ref="AN62:AN62">SUM(IF(AF62:AJ62,1,0))</f>
        <v>5</v>
      </c>
      <c r="AO62" s="19" t="n">
        <f aca="false">FALSE()</f>
        <v>0</v>
      </c>
      <c r="AP62" s="1" t="n">
        <f aca="false">IF(O62 = 2,COUNTIF(Q62:AJ62,"TRUE"),-1)</f>
        <v>14</v>
      </c>
    </row>
    <row r="63" customFormat="false" ht="15.75" hidden="false" customHeight="false" outlineLevel="0" collapsed="false">
      <c r="A63" s="8" t="e">
        <f aca="true">INDIRECT("'Ответы на форму (1)'!A"&amp;$N63,TRUE())</f>
        <v>#REF!</v>
      </c>
      <c r="B63" s="0" t="e">
        <f aca="true">INDIRECT("'Ответы на форму (1)'!B"&amp;$N63,TRUE())</f>
        <v>#REF!</v>
      </c>
      <c r="C63" s="0" t="e">
        <f aca="true">INDIRECT("'Ответы на форму (1)'!C"&amp;$N63,TRUE())</f>
        <v>#REF!</v>
      </c>
      <c r="D63" s="0" t="e">
        <f aca="true">INDIRECT("'Ответы на форму (1)'!D"&amp;$N63,TRUE())</f>
        <v>#REF!</v>
      </c>
      <c r="E63" s="0" t="n">
        <f aca="false">IFERROR(__xludf.dummyfunction("iferror(VALUE(REGEXEXTRACT(TEXT(INDIRECT(""'Ответы на форму (1)'!E""&amp;$N63,TRUE),""####""),""[0-9]+"")),IF(IFERROR(SEARCH(""моцро"",INDIRECT(""'Ответы на форму (1)'!E""&amp;$N63,TRUE)),-1) &gt;= 0,117,INDIRECT(""'Ответы на форму (1)'!E""&amp;$N63,TRUE)))"),117)</f>
        <v>117</v>
      </c>
      <c r="F63" s="0" t="e">
        <f aca="true">INDIRECT("'Ответы на форму (1)'!F"&amp;$N63,TRUE())</f>
        <v>#REF!</v>
      </c>
      <c r="G63" s="9" t="e">
        <f aca="true">IFERROR(MID(INDIRECT("'Ответы на форму (1)'!G"&amp;$N63,TRUE()),SEARCH("vk.com",INDIRECT("'Ответы на форму (1)'!G"&amp;$N63,TRUE())),LEN(INDIRECT("'Ответы на форму (1)'!G"&amp;$N63,TRUE()))),INDIRECT("'Ответы на форму (1)'!G"&amp;$N63,TRUE()))</f>
        <v>#REF!</v>
      </c>
      <c r="H63" s="0" t="e">
        <f aca="true">INDIRECT("'Ответы на форму (1)'!H"&amp;$N63,TRUE())</f>
        <v>#REF!</v>
      </c>
      <c r="I63" s="12" t="e">
        <f aca="true">INDIRECT("'Ответы на форму (1)'!I"&amp;$N63,TRUE())</f>
        <v>#REF!</v>
      </c>
      <c r="J63" s="12" t="e">
        <f aca="true">INDIRECT("'Ответы на форму (1)'!J"&amp;$N63,TRUE())</f>
        <v>#REF!</v>
      </c>
      <c r="K63" s="12" t="e">
        <f aca="true">INDIRECT("'Ответы на форму (1)'!K"&amp;$N63,TRUE())</f>
        <v>#REF!</v>
      </c>
      <c r="L63" s="12" t="e">
        <f aca="true">INDIRECT("'Ответы на форму (1)'!L"&amp;$N63,TRUE())</f>
        <v>#REF!</v>
      </c>
      <c r="M63" s="0" t="e">
        <f aca="false" t="array" ref="M63:M63">IF(B63 &lt;&gt; "",IF(COUNTIF(concat(TRIM('Список прошлого года'!$B$2:$B$200),TRIM('Список прошлого года'!$C$2:$C$200)),concat(TRIM(B63),TRIM(C63))) &gt; 0,"Да","Нет"),"")</f>
        <v>#REF!</v>
      </c>
      <c r="N63" s="1" t="n">
        <v>67</v>
      </c>
      <c r="O63" s="1" t="n">
        <v>2</v>
      </c>
      <c r="Q63" s="1" t="n">
        <f aca="false">TRUE()</f>
        <v>1</v>
      </c>
      <c r="R63" s="1" t="n">
        <f aca="false">TRUE()</f>
        <v>1</v>
      </c>
      <c r="S63" s="1" t="n">
        <f aca="false">TRUE()</f>
        <v>1</v>
      </c>
      <c r="T63" s="1" t="n">
        <f aca="false">TRUE()</f>
        <v>1</v>
      </c>
      <c r="U63" s="1" t="n">
        <f aca="false">TRUE()</f>
        <v>1</v>
      </c>
      <c r="V63" s="1" t="n">
        <f aca="false">FALSE()</f>
        <v>0</v>
      </c>
      <c r="W63" s="1" t="n">
        <f aca="false">FALSE()</f>
        <v>0</v>
      </c>
      <c r="X63" s="1" t="n">
        <f aca="false">FALSE()</f>
        <v>0</v>
      </c>
      <c r="Y63" s="1" t="n">
        <f aca="false">FALSE()</f>
        <v>0</v>
      </c>
      <c r="Z63" s="1" t="n">
        <f aca="false">FALSE()</f>
        <v>0</v>
      </c>
      <c r="AA63" s="1" t="n">
        <f aca="false">TRUE()</f>
        <v>1</v>
      </c>
      <c r="AB63" s="1" t="n">
        <f aca="false">FALSE()</f>
        <v>0</v>
      </c>
      <c r="AC63" s="1" t="n">
        <f aca="false">FALSE()</f>
        <v>0</v>
      </c>
      <c r="AD63" s="1" t="n">
        <f aca="false">FALSE()</f>
        <v>0</v>
      </c>
      <c r="AE63" s="1" t="n">
        <f aca="false">FALSE()</f>
        <v>0</v>
      </c>
      <c r="AF63" s="1" t="n">
        <f aca="false">FALSE()</f>
        <v>0</v>
      </c>
      <c r="AG63" s="1" t="n">
        <f aca="false">FALSE()</f>
        <v>0</v>
      </c>
      <c r="AH63" s="1" t="n">
        <f aca="false">FALSE()</f>
        <v>0</v>
      </c>
      <c r="AI63" s="1" t="n">
        <f aca="false">FALSE()</f>
        <v>0</v>
      </c>
      <c r="AJ63" s="1" t="n">
        <f aca="false">FALSE()</f>
        <v>0</v>
      </c>
      <c r="AK63" s="1" t="n">
        <f aca="false" t="array" ref="AK63:AK63">SUM(IF(Q63:U63,1,0))</f>
        <v>5</v>
      </c>
      <c r="AL63" s="14" t="n">
        <f aca="false" t="array" ref="AL63:AL63">SUM(IF(V63:Z63,1,0))</f>
        <v>0</v>
      </c>
      <c r="AM63" s="14" t="n">
        <f aca="false" t="array" ref="AM63:AM63">SUM(IF(AA63:AE63,1,0))</f>
        <v>1</v>
      </c>
      <c r="AN63" s="14" t="n">
        <f aca="false" t="array" ref="AN63:AN63">SUM(IF(AF63:AJ63,1,0))</f>
        <v>0</v>
      </c>
      <c r="AO63" s="1" t="n">
        <f aca="false">FALSE()</f>
        <v>0</v>
      </c>
      <c r="AP63" s="1" t="n">
        <f aca="false">IF(O63 = 2,COUNTIF(Q63:AJ63,"TRUE"),-1)</f>
        <v>6</v>
      </c>
    </row>
    <row r="64" customFormat="false" ht="15.75" hidden="false" customHeight="false" outlineLevel="0" collapsed="false">
      <c r="A64" s="8" t="e">
        <f aca="true">INDIRECT("'Ответы на форму (1)'!A"&amp;$N64,TRUE())</f>
        <v>#REF!</v>
      </c>
      <c r="B64" s="0" t="e">
        <f aca="true">INDIRECT("'Ответы на форму (1)'!B"&amp;$N64,TRUE())</f>
        <v>#REF!</v>
      </c>
      <c r="C64" s="0" t="e">
        <f aca="true">INDIRECT("'Ответы на форму (1)'!C"&amp;$N64,TRUE())</f>
        <v>#REF!</v>
      </c>
      <c r="D64" s="0" t="e">
        <f aca="true">INDIRECT("'Ответы на форму (1)'!D"&amp;$N64,TRUE())</f>
        <v>#REF!</v>
      </c>
      <c r="E64" s="0" t="n">
        <f aca="false">IFERROR(__xludf.dummyfunction("iferror(VALUE(REGEXEXTRACT(TEXT(INDIRECT(""'Ответы на форму (1)'!E""&amp;$N64,TRUE),""####""),""[0-9]+"")),IF(IFERROR(SEARCH(""моцро"",INDIRECT(""'Ответы на форму (1)'!E""&amp;$N64,TRUE)),-1) &gt;= 0,117,INDIRECT(""'Ответы на форму (1)'!E""&amp;$N64,TRUE)))"),166)</f>
        <v>166</v>
      </c>
      <c r="F64" s="0" t="e">
        <f aca="true">INDIRECT("'Ответы на форму (1)'!F"&amp;$N64,TRUE())</f>
        <v>#REF!</v>
      </c>
      <c r="G64" s="9" t="e">
        <f aca="true">IFERROR(MID(INDIRECT("'Ответы на форму (1)'!G"&amp;$N64,TRUE()),SEARCH("vk.com",INDIRECT("'Ответы на форму (1)'!G"&amp;$N64,TRUE())),LEN(INDIRECT("'Ответы на форму (1)'!G"&amp;$N64,TRUE()))),INDIRECT("'Ответы на форму (1)'!G"&amp;$N64,TRUE()))</f>
        <v>#REF!</v>
      </c>
      <c r="H64" s="0" t="e">
        <f aca="true">INDIRECT("'Ответы на форму (1)'!H"&amp;$N64,TRUE())</f>
        <v>#REF!</v>
      </c>
      <c r="I64" s="12" t="e">
        <f aca="true">INDIRECT("'Ответы на форму (1)'!I"&amp;$N64,TRUE())</f>
        <v>#REF!</v>
      </c>
      <c r="J64" s="12" t="e">
        <f aca="true">INDIRECT("'Ответы на форму (1)'!J"&amp;$N64,TRUE())</f>
        <v>#REF!</v>
      </c>
      <c r="K64" s="12" t="e">
        <f aca="true">INDIRECT("'Ответы на форму (1)'!K"&amp;$N64,TRUE())</f>
        <v>#REF!</v>
      </c>
      <c r="L64" s="12" t="e">
        <f aca="true">INDIRECT("'Ответы на форму (1)'!L"&amp;$N64,TRUE())</f>
        <v>#REF!</v>
      </c>
      <c r="M64" s="0" t="e">
        <f aca="false" t="array" ref="M64:M64">IF(B64 &lt;&gt; "",IF(COUNTIF(concat(TRIM('Список прошлого года'!$B$2:$B$200),TRIM('Список прошлого года'!$C$2:$C$200)),concat(TRIM(B64),TRIM(C64))) &gt; 0,"Да","Нет"),"")</f>
        <v>#REF!</v>
      </c>
      <c r="N64" s="1" t="n">
        <v>68</v>
      </c>
      <c r="O64" s="1" t="n">
        <v>2</v>
      </c>
      <c r="Q64" s="1" t="n">
        <f aca="false">TRUE()</f>
        <v>1</v>
      </c>
      <c r="R64" s="1" t="n">
        <f aca="false">TRUE()</f>
        <v>1</v>
      </c>
      <c r="S64" s="1" t="n">
        <f aca="false">TRUE()</f>
        <v>1</v>
      </c>
      <c r="T64" s="1" t="n">
        <f aca="false">TRUE()</f>
        <v>1</v>
      </c>
      <c r="U64" s="1" t="n">
        <f aca="false">TRUE()</f>
        <v>1</v>
      </c>
      <c r="V64" s="1" t="n">
        <f aca="false">TRUE()</f>
        <v>1</v>
      </c>
      <c r="W64" s="1" t="n">
        <f aca="false">TRUE()</f>
        <v>1</v>
      </c>
      <c r="X64" s="1" t="n">
        <f aca="false">TRUE()</f>
        <v>1</v>
      </c>
      <c r="Y64" s="1" t="n">
        <f aca="false">TRUE()</f>
        <v>1</v>
      </c>
      <c r="Z64" s="1" t="n">
        <f aca="false">TRUE()</f>
        <v>1</v>
      </c>
      <c r="AA64" s="1" t="n">
        <f aca="false">TRUE()</f>
        <v>1</v>
      </c>
      <c r="AB64" s="1" t="n">
        <f aca="false">TRUE()</f>
        <v>1</v>
      </c>
      <c r="AC64" s="1" t="n">
        <f aca="false">TRUE()</f>
        <v>1</v>
      </c>
      <c r="AD64" s="1" t="n">
        <f aca="false">TRUE()</f>
        <v>1</v>
      </c>
      <c r="AE64" s="1" t="n">
        <f aca="false">TRUE()</f>
        <v>1</v>
      </c>
      <c r="AF64" s="1" t="n">
        <f aca="false">FALSE()</f>
        <v>0</v>
      </c>
      <c r="AG64" s="1" t="n">
        <f aca="false">FALSE()</f>
        <v>0</v>
      </c>
      <c r="AH64" s="1" t="n">
        <f aca="false">FALSE()</f>
        <v>0</v>
      </c>
      <c r="AI64" s="1" t="n">
        <f aca="false">FALSE()</f>
        <v>0</v>
      </c>
      <c r="AJ64" s="1" t="n">
        <f aca="false">FALSE()</f>
        <v>0</v>
      </c>
      <c r="AK64" s="1" t="n">
        <f aca="false" t="array" ref="AK64:AK64">SUM(IF(Q64:U64,1,0))</f>
        <v>5</v>
      </c>
      <c r="AL64" s="14" t="n">
        <f aca="false" t="array" ref="AL64:AL64">SUM(IF(V64:Z64,1,0))</f>
        <v>5</v>
      </c>
      <c r="AM64" s="14" t="n">
        <f aca="false" t="array" ref="AM64:AM64">SUM(IF(AA64:AE64,1,0))</f>
        <v>5</v>
      </c>
      <c r="AN64" s="14" t="n">
        <f aca="false" t="array" ref="AN64:AN64">SUM(IF(AF64:AJ64,1,0))</f>
        <v>0</v>
      </c>
      <c r="AO64" s="1" t="n">
        <f aca="false">FALSE()</f>
        <v>0</v>
      </c>
      <c r="AP64" s="1" t="n">
        <f aca="false">IF(O64 = 2,COUNTIF(Q64:AJ64,"TRUE"),-1)</f>
        <v>15</v>
      </c>
    </row>
    <row r="65" customFormat="false" ht="15.75" hidden="false" customHeight="false" outlineLevel="0" collapsed="false">
      <c r="A65" s="8" t="e">
        <f aca="true">INDIRECT("'Ответы на форму (1)'!A"&amp;$N65,TRUE())</f>
        <v>#REF!</v>
      </c>
      <c r="B65" s="0" t="e">
        <f aca="true">INDIRECT("'Ответы на форму (1)'!B"&amp;$N65,TRUE())</f>
        <v>#REF!</v>
      </c>
      <c r="C65" s="0" t="e">
        <f aca="true">INDIRECT("'Ответы на форму (1)'!C"&amp;$N65,TRUE())</f>
        <v>#REF!</v>
      </c>
      <c r="D65" s="0" t="e">
        <f aca="true">INDIRECT("'Ответы на форму (1)'!D"&amp;$N65,TRUE())</f>
        <v>#REF!</v>
      </c>
      <c r="E65" s="0" t="n">
        <f aca="false">IFERROR(__xludf.dummyfunction("iferror(VALUE(REGEXEXTRACT(TEXT(INDIRECT(""'Ответы на форму (1)'!E""&amp;$N65,TRUE),""####""),""[0-9]+"")),IF(IFERROR(SEARCH(""моцро"",INDIRECT(""'Ответы на форму (1)'!E""&amp;$N65,TRUE)),-1) &gt;= 0,117,INDIRECT(""'Ответы на форму (1)'!E""&amp;$N65,TRUE)))"),117)</f>
        <v>117</v>
      </c>
      <c r="F65" s="0" t="e">
        <f aca="true">INDIRECT("'Ответы на форму (1)'!F"&amp;$N65,TRUE())</f>
        <v>#REF!</v>
      </c>
      <c r="G65" s="9" t="e">
        <f aca="true">IFERROR(MID(INDIRECT("'Ответы на форму (1)'!G"&amp;$N65,TRUE()),SEARCH("vk.com",INDIRECT("'Ответы на форму (1)'!G"&amp;$N65,TRUE())),LEN(INDIRECT("'Ответы на форму (1)'!G"&amp;$N65,TRUE()))),INDIRECT("'Ответы на форму (1)'!G"&amp;$N65,TRUE()))</f>
        <v>#REF!</v>
      </c>
      <c r="H65" s="0" t="e">
        <f aca="true">INDIRECT("'Ответы на форму (1)'!H"&amp;$N65,TRUE())</f>
        <v>#REF!</v>
      </c>
      <c r="I65" s="12" t="e">
        <f aca="true">INDIRECT("'Ответы на форму (1)'!I"&amp;$N65,TRUE())</f>
        <v>#REF!</v>
      </c>
      <c r="J65" s="12" t="e">
        <f aca="true">INDIRECT("'Ответы на форму (1)'!J"&amp;$N65,TRUE())</f>
        <v>#REF!</v>
      </c>
      <c r="K65" s="12" t="e">
        <f aca="true">INDIRECT("'Ответы на форму (1)'!K"&amp;$N65,TRUE())</f>
        <v>#REF!</v>
      </c>
      <c r="L65" s="12" t="e">
        <f aca="true">INDIRECT("'Ответы на форму (1)'!L"&amp;$N65,TRUE())</f>
        <v>#REF!</v>
      </c>
      <c r="M65" s="0" t="e">
        <f aca="false" t="array" ref="M65:M65">IF(B65 &lt;&gt; "",IF(COUNTIF(concat(TRIM('Список прошлого года'!$B$2:$B$200),TRIM('Список прошлого года'!$C$2:$C$200)),concat(TRIM(B65),TRIM(C65))) &gt; 0,"Да","Нет"),"")</f>
        <v>#REF!</v>
      </c>
      <c r="N65" s="1" t="n">
        <v>69</v>
      </c>
      <c r="O65" s="1" t="n">
        <v>2</v>
      </c>
      <c r="Q65" s="1" t="n">
        <f aca="false">TRUE()</f>
        <v>1</v>
      </c>
      <c r="R65" s="1" t="n">
        <f aca="false">TRUE()</f>
        <v>1</v>
      </c>
      <c r="S65" s="1" t="n">
        <f aca="false">FALSE()</f>
        <v>0</v>
      </c>
      <c r="T65" s="1" t="n">
        <f aca="false">FALSE()</f>
        <v>0</v>
      </c>
      <c r="U65" s="1" t="n">
        <f aca="false">TRUE()</f>
        <v>1</v>
      </c>
      <c r="V65" s="1" t="n">
        <f aca="false">TRUE()</f>
        <v>1</v>
      </c>
      <c r="W65" s="1" t="n">
        <f aca="false">TRUE()</f>
        <v>1</v>
      </c>
      <c r="X65" s="1" t="n">
        <f aca="false">FALSE()</f>
        <v>0</v>
      </c>
      <c r="Y65" s="1" t="n">
        <f aca="false">FALSE()</f>
        <v>0</v>
      </c>
      <c r="Z65" s="1" t="n">
        <f aca="false">TRUE()</f>
        <v>1</v>
      </c>
      <c r="AA65" s="1" t="n">
        <f aca="false">TRUE()</f>
        <v>1</v>
      </c>
      <c r="AB65" s="1" t="n">
        <f aca="false">FALSE()</f>
        <v>0</v>
      </c>
      <c r="AC65" s="1" t="n">
        <f aca="false">TRUE()</f>
        <v>1</v>
      </c>
      <c r="AD65" s="1" t="n">
        <f aca="false">TRUE()</f>
        <v>1</v>
      </c>
      <c r="AE65" s="1" t="n">
        <f aca="false">FALSE()</f>
        <v>0</v>
      </c>
      <c r="AF65" s="1" t="n">
        <f aca="false">TRUE()</f>
        <v>1</v>
      </c>
      <c r="AG65" s="1" t="n">
        <f aca="false">FALSE()</f>
        <v>0</v>
      </c>
      <c r="AH65" s="1" t="n">
        <f aca="false">TRUE()</f>
        <v>1</v>
      </c>
      <c r="AI65" s="1" t="n">
        <f aca="false">TRUE()</f>
        <v>1</v>
      </c>
      <c r="AJ65" s="1" t="n">
        <f aca="false">TRUE()</f>
        <v>1</v>
      </c>
      <c r="AK65" s="1" t="n">
        <f aca="false" t="array" ref="AK65:AK65">SUM(IF(Q65:U65,1,0))</f>
        <v>3</v>
      </c>
      <c r="AL65" s="14" t="n">
        <f aca="false" t="array" ref="AL65:AL65">SUM(IF(V65:Z65,1,0))</f>
        <v>3</v>
      </c>
      <c r="AM65" s="14" t="n">
        <f aca="false" t="array" ref="AM65:AM65">SUM(IF(AA65:AE65,1,0))</f>
        <v>3</v>
      </c>
      <c r="AN65" s="14" t="n">
        <f aca="false" t="array" ref="AN65:AN65">SUM(IF(AF65:AJ65,1,0))</f>
        <v>4</v>
      </c>
      <c r="AO65" s="1" t="n">
        <f aca="false">FALSE()</f>
        <v>0</v>
      </c>
      <c r="AP65" s="1" t="n">
        <f aca="false">IF(O65 = 2,COUNTIF(Q65:AJ65,"TRUE"),-1)</f>
        <v>13</v>
      </c>
    </row>
    <row r="66" customFormat="false" ht="15.75" hidden="false" customHeight="false" outlineLevel="0" collapsed="false">
      <c r="A66" s="22" t="e">
        <f aca="true">INDIRECT("'Ответы на форму (1)'!A"&amp;$N66,TRUE())</f>
        <v>#REF!</v>
      </c>
      <c r="B66" s="23" t="e">
        <f aca="true">INDIRECT("'Ответы на форму (1)'!B"&amp;$N66,TRUE())</f>
        <v>#REF!</v>
      </c>
      <c r="C66" s="23" t="e">
        <f aca="true">INDIRECT("'Ответы на форму (1)'!C"&amp;$N66,TRUE())</f>
        <v>#REF!</v>
      </c>
      <c r="D66" s="23" t="e">
        <f aca="true">INDIRECT("'Ответы на форму (1)'!D"&amp;$N66,TRUE())</f>
        <v>#REF!</v>
      </c>
      <c r="E66" s="23" t="n">
        <f aca="false">IFERROR(__xludf.dummyfunction("iferror(VALUE(REGEXEXTRACT(TEXT(INDIRECT(""'Ответы на форму (1)'!E""&amp;$N66,TRUE),""####""),""[0-9]+"")),IF(IFERROR(SEARCH(""моцро"",INDIRECT(""'Ответы на форму (1)'!E""&amp;$N66,TRUE)),-1) &gt;= 0,117,INDIRECT(""'Ответы на форму (1)'!E""&amp;$N66,TRUE)))"),166)</f>
        <v>166</v>
      </c>
      <c r="F66" s="23" t="e">
        <f aca="true">INDIRECT("'Ответы на форму (1)'!F"&amp;$N66,TRUE())</f>
        <v>#REF!</v>
      </c>
      <c r="G66" s="24" t="e">
        <f aca="true">IFERROR(MID(INDIRECT("'Ответы на форму (1)'!G"&amp;$N66,TRUE()),SEARCH("vk.com",INDIRECT("'Ответы на форму (1)'!G"&amp;$N66,TRUE())),LEN(INDIRECT("'Ответы на форму (1)'!G"&amp;$N66,TRUE()))),INDIRECT("'Ответы на форму (1)'!G"&amp;$N66,TRUE()))</f>
        <v>#REF!</v>
      </c>
      <c r="H66" s="23" t="e">
        <f aca="true">INDIRECT("'Ответы на форму (1)'!H"&amp;$N66,TRUE())</f>
        <v>#REF!</v>
      </c>
      <c r="I66" s="23" t="e">
        <f aca="true">INDIRECT("'Ответы на форму (1)'!I"&amp;$N66,TRUE())</f>
        <v>#REF!</v>
      </c>
      <c r="J66" s="23" t="e">
        <f aca="true">INDIRECT("'Ответы на форму (1)'!J"&amp;$N66,TRUE())</f>
        <v>#REF!</v>
      </c>
      <c r="K66" s="23" t="e">
        <f aca="true">INDIRECT("'Ответы на форму (1)'!K"&amp;$N66,TRUE())</f>
        <v>#REF!</v>
      </c>
      <c r="L66" s="23" t="e">
        <f aca="true">INDIRECT("'Ответы на форму (1)'!L"&amp;$N66,TRUE())</f>
        <v>#REF!</v>
      </c>
      <c r="M66" s="23" t="e">
        <f aca="false" t="array" ref="M66:M66">IF(B66 &lt;&gt; "",IF(COUNTIF(concat(TRIM('Список прошлого года'!$B$2:$B$200),TRIM('Список прошлого года'!$C$2:$C$200)),concat(TRIM(B66),TRIM(C66))) &gt; 0,"Да","Нет"),"")</f>
        <v>#REF!</v>
      </c>
      <c r="N66" s="25" t="n">
        <v>70</v>
      </c>
      <c r="O66" s="25" t="n">
        <v>2</v>
      </c>
      <c r="P66" s="23"/>
      <c r="Q66" s="25" t="n">
        <f aca="false">TRUE()</f>
        <v>1</v>
      </c>
      <c r="R66" s="25" t="n">
        <f aca="false">TRUE()</f>
        <v>1</v>
      </c>
      <c r="S66" s="25" t="n">
        <f aca="false">TRUE()</f>
        <v>1</v>
      </c>
      <c r="T66" s="25" t="n">
        <f aca="false">TRUE()</f>
        <v>1</v>
      </c>
      <c r="U66" s="25" t="n">
        <f aca="false">TRUE()</f>
        <v>1</v>
      </c>
      <c r="V66" s="25" t="n">
        <f aca="false">TRUE()</f>
        <v>1</v>
      </c>
      <c r="W66" s="25" t="n">
        <f aca="false">TRUE()</f>
        <v>1</v>
      </c>
      <c r="X66" s="25" t="n">
        <f aca="false">TRUE()</f>
        <v>1</v>
      </c>
      <c r="Y66" s="25" t="n">
        <f aca="false">TRUE()</f>
        <v>1</v>
      </c>
      <c r="Z66" s="25" t="n">
        <f aca="false">TRUE()</f>
        <v>1</v>
      </c>
      <c r="AA66" s="25" t="n">
        <f aca="false">TRUE()</f>
        <v>1</v>
      </c>
      <c r="AB66" s="25" t="n">
        <f aca="false">TRUE()</f>
        <v>1</v>
      </c>
      <c r="AC66" s="25" t="n">
        <f aca="false">TRUE()</f>
        <v>1</v>
      </c>
      <c r="AD66" s="25" t="n">
        <f aca="false">TRUE()</f>
        <v>1</v>
      </c>
      <c r="AE66" s="25" t="n">
        <f aca="false">TRUE()</f>
        <v>1</v>
      </c>
      <c r="AF66" s="25" t="n">
        <f aca="false">TRUE()</f>
        <v>1</v>
      </c>
      <c r="AG66" s="25" t="n">
        <f aca="false">TRUE()</f>
        <v>1</v>
      </c>
      <c r="AH66" s="25" t="n">
        <f aca="false">TRUE()</f>
        <v>1</v>
      </c>
      <c r="AI66" s="25" t="n">
        <f aca="false">TRUE()</f>
        <v>1</v>
      </c>
      <c r="AJ66" s="25" t="n">
        <f aca="false">TRUE()</f>
        <v>1</v>
      </c>
      <c r="AK66" s="25" t="n">
        <f aca="false" t="array" ref="AK66:AK66">SUM(IF(Q66:U66,1,0))</f>
        <v>5</v>
      </c>
      <c r="AL66" s="26" t="n">
        <f aca="false" t="array" ref="AL66:AL66">SUM(IF(V66:Z66,1,0))</f>
        <v>5</v>
      </c>
      <c r="AM66" s="26" t="n">
        <f aca="false" t="array" ref="AM66:AM66">SUM(IF(AA66:AE66,1,0))</f>
        <v>5</v>
      </c>
      <c r="AN66" s="26" t="n">
        <f aca="false" t="array" ref="AN66:AN66">SUM(IF(AF66:AJ66,1,0))</f>
        <v>5</v>
      </c>
      <c r="AO66" s="25" t="n">
        <f aca="false">FALSE()</f>
        <v>0</v>
      </c>
      <c r="AP66" s="1" t="n">
        <f aca="false">IF(O66 = 2,COUNTIF(Q66:AJ66,"TRUE"),-1)</f>
        <v>20</v>
      </c>
    </row>
    <row r="67" customFormat="false" ht="15.75" hidden="false" customHeight="false" outlineLevel="0" collapsed="false">
      <c r="A67" s="8" t="e">
        <f aca="true">INDIRECT("'Ответы на форму (1)'!A"&amp;$N67,TRUE())</f>
        <v>#REF!</v>
      </c>
      <c r="B67" s="0" t="e">
        <f aca="true">INDIRECT("'Ответы на форму (1)'!B"&amp;$N67,TRUE())</f>
        <v>#REF!</v>
      </c>
      <c r="C67" s="0" t="e">
        <f aca="true">INDIRECT("'Ответы на форму (1)'!C"&amp;$N67,TRUE())</f>
        <v>#REF!</v>
      </c>
      <c r="D67" s="0" t="e">
        <f aca="true">INDIRECT("'Ответы на форму (1)'!D"&amp;$N67,TRUE())</f>
        <v>#REF!</v>
      </c>
      <c r="E67" s="0" t="n">
        <f aca="false">IFERROR(__xludf.dummyfunction("iferror(VALUE(REGEXEXTRACT(TEXT(INDIRECT(""'Ответы на форму (1)'!E""&amp;$N67,TRUE),""####""),""[0-9]+"")),IF(IFERROR(SEARCH(""моцро"",INDIRECT(""'Ответы на форму (1)'!E""&amp;$N67,TRUE)),-1) &gt;= 0,117,INDIRECT(""'Ответы на форму (1)'!E""&amp;$N67,TRUE)))"),64)</f>
        <v>64</v>
      </c>
      <c r="F67" s="0" t="e">
        <f aca="true">INDIRECT("'Ответы на форму (1)'!F"&amp;$N67,TRUE())</f>
        <v>#REF!</v>
      </c>
      <c r="G67" s="9" t="e">
        <f aca="true">IFERROR(MID(INDIRECT("'Ответы на форму (1)'!G"&amp;$N67,TRUE()),SEARCH("vk.com",INDIRECT("'Ответы на форму (1)'!G"&amp;$N67,TRUE())),LEN(INDIRECT("'Ответы на форму (1)'!G"&amp;$N67,TRUE()))),INDIRECT("'Ответы на форму (1)'!G"&amp;$N67,TRUE()))</f>
        <v>#REF!</v>
      </c>
      <c r="H67" s="0" t="e">
        <f aca="true">INDIRECT("'Ответы на форму (1)'!H"&amp;$N67,TRUE())</f>
        <v>#REF!</v>
      </c>
      <c r="I67" s="12" t="e">
        <f aca="true">INDIRECT("'Ответы на форму (1)'!I"&amp;$N67,TRUE())</f>
        <v>#REF!</v>
      </c>
      <c r="J67" s="12" t="e">
        <f aca="true">INDIRECT("'Ответы на форму (1)'!J"&amp;$N67,TRUE())</f>
        <v>#REF!</v>
      </c>
      <c r="K67" s="12" t="e">
        <f aca="true">INDIRECT("'Ответы на форму (1)'!K"&amp;$N67,TRUE())</f>
        <v>#REF!</v>
      </c>
      <c r="L67" s="12" t="e">
        <f aca="true">INDIRECT("'Ответы на форму (1)'!L"&amp;$N67,TRUE())</f>
        <v>#REF!</v>
      </c>
      <c r="M67" s="0" t="e">
        <f aca="false" t="array" ref="M67:M67">IF(B67 &lt;&gt; "",IF(COUNTIF(concat(TRIM('Список прошлого года'!$B$2:$B$200),TRIM('Список прошлого года'!$C$2:$C$200)),concat(TRIM(B67),TRIM(C67))) &gt; 0,"Да","Нет"),"")</f>
        <v>#REF!</v>
      </c>
      <c r="N67" s="1" t="n">
        <v>71</v>
      </c>
      <c r="O67" s="1" t="n">
        <v>2</v>
      </c>
      <c r="Q67" s="1" t="n">
        <f aca="false">TRUE()</f>
        <v>1</v>
      </c>
      <c r="R67" s="1" t="n">
        <f aca="false">TRUE()</f>
        <v>1</v>
      </c>
      <c r="S67" s="1" t="n">
        <f aca="false">FALSE()</f>
        <v>0</v>
      </c>
      <c r="T67" s="1" t="n">
        <f aca="false">TRUE()</f>
        <v>1</v>
      </c>
      <c r="U67" s="1" t="n">
        <f aca="false">FALSE()</f>
        <v>0</v>
      </c>
      <c r="V67" s="1" t="n">
        <f aca="false">TRUE()</f>
        <v>1</v>
      </c>
      <c r="W67" s="1" t="n">
        <f aca="false">TRUE()</f>
        <v>1</v>
      </c>
      <c r="X67" s="1" t="n">
        <f aca="false">FALSE()</f>
        <v>0</v>
      </c>
      <c r="Y67" s="1" t="n">
        <f aca="false">TRUE()</f>
        <v>1</v>
      </c>
      <c r="Z67" s="1" t="n">
        <f aca="false">TRUE()</f>
        <v>1</v>
      </c>
      <c r="AA67" s="1" t="n">
        <f aca="false">TRUE()</f>
        <v>1</v>
      </c>
      <c r="AB67" s="1" t="n">
        <f aca="false">FALSE()</f>
        <v>0</v>
      </c>
      <c r="AC67" s="1" t="n">
        <f aca="false">FALSE()</f>
        <v>0</v>
      </c>
      <c r="AD67" s="1" t="n">
        <f aca="false">TRUE()</f>
        <v>1</v>
      </c>
      <c r="AE67" s="1" t="n">
        <f aca="false">FALSE()</f>
        <v>0</v>
      </c>
      <c r="AF67" s="1" t="n">
        <f aca="false">TRUE()</f>
        <v>1</v>
      </c>
      <c r="AG67" s="1" t="n">
        <f aca="false">FALSE()</f>
        <v>0</v>
      </c>
      <c r="AH67" s="1" t="n">
        <f aca="false">FALSE()</f>
        <v>0</v>
      </c>
      <c r="AI67" s="1" t="n">
        <f aca="false">FALSE()</f>
        <v>0</v>
      </c>
      <c r="AJ67" s="1" t="n">
        <f aca="false">FALSE()</f>
        <v>0</v>
      </c>
      <c r="AK67" s="1" t="n">
        <f aca="false" t="array" ref="AK67:AK67">SUM(IF(Q67:U67,1,0))</f>
        <v>3</v>
      </c>
      <c r="AL67" s="14" t="n">
        <f aca="false" t="array" ref="AL67:AL67">SUM(IF(V67:Z67,1,0))</f>
        <v>4</v>
      </c>
      <c r="AM67" s="14" t="n">
        <f aca="false" t="array" ref="AM67:AM67">SUM(IF(AA67:AE67,1,0))</f>
        <v>2</v>
      </c>
      <c r="AN67" s="14" t="n">
        <f aca="false" t="array" ref="AN67:AN67">SUM(IF(AF67:AJ67,1,0))</f>
        <v>1</v>
      </c>
      <c r="AO67" s="1" t="n">
        <f aca="false">FALSE()</f>
        <v>0</v>
      </c>
      <c r="AP67" s="1" t="n">
        <f aca="false">IF(O67 = 2,COUNTIF(Q67:AJ67,"TRUE"),-1)</f>
        <v>10</v>
      </c>
    </row>
    <row r="68" customFormat="false" ht="15.75" hidden="false" customHeight="false" outlineLevel="0" collapsed="false">
      <c r="A68" s="8" t="e">
        <f aca="true">INDIRECT("'Ответы на форму (1)'!A"&amp;$N68,TRUE())</f>
        <v>#REF!</v>
      </c>
      <c r="B68" s="0" t="e">
        <f aca="true">INDIRECT("'Ответы на форму (1)'!B"&amp;$N68,TRUE())</f>
        <v>#REF!</v>
      </c>
      <c r="C68" s="0" t="e">
        <f aca="true">INDIRECT("'Ответы на форму (1)'!C"&amp;$N68,TRUE())</f>
        <v>#REF!</v>
      </c>
      <c r="D68" s="0" t="e">
        <f aca="true">INDIRECT("'Ответы на форму (1)'!D"&amp;$N68,TRUE())</f>
        <v>#REF!</v>
      </c>
      <c r="E68" s="0" t="n">
        <f aca="false">IFERROR(__xludf.dummyfunction("iferror(VALUE(REGEXEXTRACT(TEXT(INDIRECT(""'Ответы на форму (1)'!E""&amp;$N68,TRUE),""####""),""[0-9]+"")),IF(IFERROR(SEARCH(""моцро"",INDIRECT(""'Ответы на форму (1)'!E""&amp;$N68,TRUE)),-1) &gt;= 0,117,INDIRECT(""'Ответы на форму (1)'!E""&amp;$N68,TRUE)))"),117)</f>
        <v>117</v>
      </c>
      <c r="F68" s="0" t="e">
        <f aca="true">INDIRECT("'Ответы на форму (1)'!F"&amp;$N68,TRUE())</f>
        <v>#REF!</v>
      </c>
      <c r="G68" s="9" t="e">
        <f aca="true">IFERROR(MID(INDIRECT("'Ответы на форму (1)'!G"&amp;$N68,TRUE()),SEARCH("vk.com",INDIRECT("'Ответы на форму (1)'!G"&amp;$N68,TRUE())),LEN(INDIRECT("'Ответы на форму (1)'!G"&amp;$N68,TRUE()))),INDIRECT("'Ответы на форму (1)'!G"&amp;$N68,TRUE()))</f>
        <v>#REF!</v>
      </c>
      <c r="H68" s="0" t="e">
        <f aca="true">INDIRECT("'Ответы на форму (1)'!H"&amp;$N68,TRUE())</f>
        <v>#REF!</v>
      </c>
      <c r="I68" s="12" t="e">
        <f aca="true">INDIRECT("'Ответы на форму (1)'!I"&amp;$N68,TRUE())</f>
        <v>#REF!</v>
      </c>
      <c r="J68" s="12" t="e">
        <f aca="true">INDIRECT("'Ответы на форму (1)'!J"&amp;$N68,TRUE())</f>
        <v>#REF!</v>
      </c>
      <c r="K68" s="12" t="e">
        <f aca="true">INDIRECT("'Ответы на форму (1)'!K"&amp;$N68,TRUE())</f>
        <v>#REF!</v>
      </c>
      <c r="L68" s="12" t="e">
        <f aca="true">INDIRECT("'Ответы на форму (1)'!L"&amp;$N68,TRUE())</f>
        <v>#REF!</v>
      </c>
      <c r="M68" s="0" t="e">
        <f aca="false" t="array" ref="M68:M68">IF(B68 &lt;&gt; "",IF(COUNTIF(concat(TRIM('Список прошлого года'!$B$2:$B$200),TRIM('Список прошлого года'!$C$2:$C$200)),concat(TRIM(B68),TRIM(C68))) &gt; 0,"Да","Нет"),"")</f>
        <v>#REF!</v>
      </c>
      <c r="N68" s="1" t="n">
        <v>72</v>
      </c>
      <c r="O68" s="1" t="n">
        <v>-1</v>
      </c>
      <c r="Q68" s="1" t="n">
        <f aca="false">FALSE()</f>
        <v>0</v>
      </c>
      <c r="R68" s="1" t="n">
        <f aca="false">FALSE()</f>
        <v>0</v>
      </c>
      <c r="S68" s="1" t="n">
        <f aca="false">FALSE()</f>
        <v>0</v>
      </c>
      <c r="T68" s="1" t="n">
        <f aca="false">FALSE()</f>
        <v>0</v>
      </c>
      <c r="U68" s="1" t="n">
        <f aca="false">FALSE()</f>
        <v>0</v>
      </c>
      <c r="V68" s="1" t="n">
        <f aca="false">FALSE()</f>
        <v>0</v>
      </c>
      <c r="W68" s="1" t="n">
        <f aca="false">FALSE()</f>
        <v>0</v>
      </c>
      <c r="X68" s="1" t="n">
        <f aca="false">FALSE()</f>
        <v>0</v>
      </c>
      <c r="Y68" s="1" t="n">
        <f aca="false">FALSE()</f>
        <v>0</v>
      </c>
      <c r="Z68" s="1" t="n">
        <f aca="false">FALSE()</f>
        <v>0</v>
      </c>
      <c r="AA68" s="1" t="n">
        <f aca="false">FALSE()</f>
        <v>0</v>
      </c>
      <c r="AB68" s="1" t="n">
        <f aca="false">FALSE()</f>
        <v>0</v>
      </c>
      <c r="AC68" s="1" t="n">
        <f aca="false">FALSE()</f>
        <v>0</v>
      </c>
      <c r="AD68" s="1" t="n">
        <f aca="false">FALSE()</f>
        <v>0</v>
      </c>
      <c r="AE68" s="1" t="n">
        <f aca="false">FALSE()</f>
        <v>0</v>
      </c>
      <c r="AF68" s="1" t="n">
        <f aca="false">FALSE()</f>
        <v>0</v>
      </c>
      <c r="AG68" s="1" t="n">
        <f aca="false">FALSE()</f>
        <v>0</v>
      </c>
      <c r="AH68" s="1" t="n">
        <f aca="false">FALSE()</f>
        <v>0</v>
      </c>
      <c r="AI68" s="1" t="n">
        <f aca="false">FALSE()</f>
        <v>0</v>
      </c>
      <c r="AJ68" s="1" t="n">
        <f aca="false">FALSE()</f>
        <v>0</v>
      </c>
      <c r="AK68" s="1" t="n">
        <f aca="false" t="array" ref="AK68:AK68">SUM(IF(Q68:U68,1,0))</f>
        <v>0</v>
      </c>
      <c r="AL68" s="14" t="n">
        <f aca="false" t="array" ref="AL68:AL68">SUM(IF(V68:Z68,1,0))</f>
        <v>0</v>
      </c>
      <c r="AM68" s="14" t="n">
        <f aca="false" t="array" ref="AM68:AM68">SUM(IF(AA68:AE68,1,0))</f>
        <v>0</v>
      </c>
      <c r="AN68" s="14" t="n">
        <f aca="false" t="array" ref="AN68:AN68">SUM(IF(AF68:AJ68,1,0))</f>
        <v>0</v>
      </c>
      <c r="AO68" s="1" t="n">
        <f aca="false">FALSE()</f>
        <v>0</v>
      </c>
      <c r="AP68" s="1" t="n">
        <f aca="false">IF(O68 = 2,COUNTIF(Q68:AJ68,"TRUE"),-1)</f>
        <v>-1</v>
      </c>
    </row>
    <row r="69" customFormat="false" ht="15.75" hidden="false" customHeight="false" outlineLevel="0" collapsed="false">
      <c r="A69" s="8" t="e">
        <f aca="true">INDIRECT("'Ответы на форму (1)'!A"&amp;$N69,TRUE())</f>
        <v>#REF!</v>
      </c>
      <c r="B69" s="0" t="e">
        <f aca="true">INDIRECT("'Ответы на форму (1)'!B"&amp;$N69,TRUE())</f>
        <v>#REF!</v>
      </c>
      <c r="C69" s="0" t="e">
        <f aca="true">INDIRECT("'Ответы на форму (1)'!C"&amp;$N69,TRUE())</f>
        <v>#REF!</v>
      </c>
      <c r="D69" s="0" t="e">
        <f aca="true">INDIRECT("'Ответы на форму (1)'!D"&amp;$N69,TRUE())</f>
        <v>#REF!</v>
      </c>
      <c r="E69" s="0" t="n">
        <f aca="false">IFERROR(__xludf.dummyfunction("iferror(VALUE(REGEXEXTRACT(TEXT(INDIRECT(""'Ответы на форму (1)'!E""&amp;$N69,TRUE),""####""),""[0-9]+"")),IF(IFERROR(SEARCH(""моцро"",INDIRECT(""'Ответы на форму (1)'!E""&amp;$N69,TRUE)),-1) &gt;= 0,117,INDIRECT(""'Ответы на форму (1)'!E""&amp;$N69,TRUE)))"),117)</f>
        <v>117</v>
      </c>
      <c r="F69" s="0" t="e">
        <f aca="true">INDIRECT("'Ответы на форму (1)'!F"&amp;$N69,TRUE())</f>
        <v>#REF!</v>
      </c>
      <c r="G69" s="9" t="e">
        <f aca="true">IFERROR(MID(INDIRECT("'Ответы на форму (1)'!G"&amp;$N69,TRUE()),SEARCH("vk.com",INDIRECT("'Ответы на форму (1)'!G"&amp;$N69,TRUE())),LEN(INDIRECT("'Ответы на форму (1)'!G"&amp;$N69,TRUE()))),INDIRECT("'Ответы на форму (1)'!G"&amp;$N69,TRUE()))</f>
        <v>#REF!</v>
      </c>
      <c r="H69" s="0" t="e">
        <f aca="true">INDIRECT("'Ответы на форму (1)'!H"&amp;$N69,TRUE())</f>
        <v>#REF!</v>
      </c>
      <c r="I69" s="12" t="e">
        <f aca="true">INDIRECT("'Ответы на форму (1)'!I"&amp;$N69,TRUE())</f>
        <v>#REF!</v>
      </c>
      <c r="J69" s="12" t="e">
        <f aca="true">INDIRECT("'Ответы на форму (1)'!J"&amp;$N69,TRUE())</f>
        <v>#REF!</v>
      </c>
      <c r="K69" s="12" t="e">
        <f aca="true">INDIRECT("'Ответы на форму (1)'!K"&amp;$N69,TRUE())</f>
        <v>#REF!</v>
      </c>
      <c r="L69" s="12" t="e">
        <f aca="true">INDIRECT("'Ответы на форму (1)'!L"&amp;$N69,TRUE())</f>
        <v>#REF!</v>
      </c>
      <c r="M69" s="0" t="e">
        <f aca="false" t="array" ref="M69:M69">IF(B69 &lt;&gt; "",IF(COUNTIF(concat(TRIM('Список прошлого года'!$B$2:$B$200),TRIM('Список прошлого года'!$C$2:$C$200)),concat(TRIM(B69),TRIM(C69))) &gt; 0,"Да","Нет"),"")</f>
        <v>#REF!</v>
      </c>
      <c r="N69" s="1" t="n">
        <v>73</v>
      </c>
      <c r="O69" s="1" t="n">
        <v>2</v>
      </c>
      <c r="Q69" s="1" t="n">
        <f aca="false">FALSE()</f>
        <v>0</v>
      </c>
      <c r="R69" s="1" t="n">
        <f aca="false">FALSE()</f>
        <v>0</v>
      </c>
      <c r="S69" s="1" t="n">
        <f aca="false">FALSE()</f>
        <v>0</v>
      </c>
      <c r="T69" s="1" t="n">
        <f aca="false">FALSE()</f>
        <v>0</v>
      </c>
      <c r="U69" s="1" t="n">
        <f aca="false">FALSE()</f>
        <v>0</v>
      </c>
      <c r="V69" s="1" t="n">
        <f aca="false">FALSE()</f>
        <v>0</v>
      </c>
      <c r="W69" s="1" t="n">
        <f aca="false">FALSE()</f>
        <v>0</v>
      </c>
      <c r="X69" s="1" t="n">
        <f aca="false">FALSE()</f>
        <v>0</v>
      </c>
      <c r="Y69" s="1" t="n">
        <f aca="false">FALSE()</f>
        <v>0</v>
      </c>
      <c r="Z69" s="1" t="n">
        <f aca="false">FALSE()</f>
        <v>0</v>
      </c>
      <c r="AA69" s="1" t="n">
        <f aca="false">FALSE()</f>
        <v>0</v>
      </c>
      <c r="AB69" s="1" t="n">
        <f aca="false">FALSE()</f>
        <v>0</v>
      </c>
      <c r="AC69" s="1" t="n">
        <f aca="false">FALSE()</f>
        <v>0</v>
      </c>
      <c r="AD69" s="1" t="n">
        <f aca="false">FALSE()</f>
        <v>0</v>
      </c>
      <c r="AE69" s="1" t="n">
        <f aca="false">FALSE()</f>
        <v>0</v>
      </c>
      <c r="AF69" s="1" t="n">
        <f aca="false">FALSE()</f>
        <v>0</v>
      </c>
      <c r="AG69" s="1" t="n">
        <f aca="false">FALSE()</f>
        <v>0</v>
      </c>
      <c r="AH69" s="1" t="n">
        <f aca="false">FALSE()</f>
        <v>0</v>
      </c>
      <c r="AI69" s="1" t="n">
        <f aca="false">FALSE()</f>
        <v>0</v>
      </c>
      <c r="AJ69" s="1" t="n">
        <f aca="false">FALSE()</f>
        <v>0</v>
      </c>
      <c r="AK69" s="1" t="n">
        <f aca="false" t="array" ref="AK69:AK69">SUM(IF(Q69:U69,1,0))</f>
        <v>0</v>
      </c>
      <c r="AL69" s="14" t="n">
        <f aca="false" t="array" ref="AL69:AL69">SUM(IF(V69:Z69,1,0))</f>
        <v>0</v>
      </c>
      <c r="AM69" s="14" t="n">
        <f aca="false" t="array" ref="AM69:AM69">SUM(IF(AA69:AE69,1,0))</f>
        <v>0</v>
      </c>
      <c r="AN69" s="14" t="n">
        <f aca="false" t="array" ref="AN69:AN69">SUM(IF(AF69:AJ69,1,0))</f>
        <v>0</v>
      </c>
      <c r="AO69" s="1" t="n">
        <f aca="false">FALSE()</f>
        <v>0</v>
      </c>
      <c r="AP69" s="1" t="n">
        <f aca="false">IF(O69 = 2,COUNTIF(Q69:AJ69,"TRUE"),-1)</f>
        <v>0</v>
      </c>
    </row>
    <row r="70" customFormat="false" ht="15.75" hidden="false" customHeight="false" outlineLevel="0" collapsed="false">
      <c r="A70" s="8" t="e">
        <f aca="true">INDIRECT("'Ответы на форму (1)'!A"&amp;$N70,TRUE())</f>
        <v>#REF!</v>
      </c>
      <c r="B70" s="0" t="e">
        <f aca="true">INDIRECT("'Ответы на форму (1)'!B"&amp;$N70,TRUE())</f>
        <v>#REF!</v>
      </c>
      <c r="C70" s="0" t="e">
        <f aca="true">INDIRECT("'Ответы на форму (1)'!C"&amp;$N70,TRUE())</f>
        <v>#REF!</v>
      </c>
      <c r="D70" s="0" t="e">
        <f aca="true">INDIRECT("'Ответы на форму (1)'!D"&amp;$N70,TRUE())</f>
        <v>#REF!</v>
      </c>
      <c r="E70" s="0" t="n">
        <f aca="false">IFERROR(__xludf.dummyfunction("iferror(VALUE(REGEXEXTRACT(TEXT(INDIRECT(""'Ответы на форму (1)'!E""&amp;$N70,TRUE),""####""),""[0-9]+"")),IF(IFERROR(SEARCH(""моцро"",INDIRECT(""'Ответы на форму (1)'!E""&amp;$N70,TRUE)),-1) &gt;= 0,117,INDIRECT(""'Ответы на форму (1)'!E""&amp;$N70,TRUE)))"),117)</f>
        <v>117</v>
      </c>
      <c r="F70" s="0" t="e">
        <f aca="true">INDIRECT("'Ответы на форму (1)'!F"&amp;$N70,TRUE())</f>
        <v>#REF!</v>
      </c>
      <c r="G70" s="9" t="e">
        <f aca="true">IFERROR(MID(INDIRECT("'Ответы на форму (1)'!G"&amp;$N70,TRUE()),SEARCH("vk.com",INDIRECT("'Ответы на форму (1)'!G"&amp;$N70,TRUE())),LEN(INDIRECT("'Ответы на форму (1)'!G"&amp;$N70,TRUE()))),INDIRECT("'Ответы на форму (1)'!G"&amp;$N70,TRUE()))</f>
        <v>#REF!</v>
      </c>
      <c r="H70" s="0" t="e">
        <f aca="true">INDIRECT("'Ответы на форму (1)'!H"&amp;$N70,TRUE())</f>
        <v>#REF!</v>
      </c>
      <c r="I70" s="12" t="e">
        <f aca="true">INDIRECT("'Ответы на форму (1)'!I"&amp;$N70,TRUE())</f>
        <v>#REF!</v>
      </c>
      <c r="J70" s="12" t="e">
        <f aca="true">INDIRECT("'Ответы на форму (1)'!J"&amp;$N70,TRUE())</f>
        <v>#REF!</v>
      </c>
      <c r="K70" s="12" t="e">
        <f aca="true">INDIRECT("'Ответы на форму (1)'!K"&amp;$N70,TRUE())</f>
        <v>#REF!</v>
      </c>
      <c r="L70" s="12" t="e">
        <f aca="true">INDIRECT("'Ответы на форму (1)'!L"&amp;$N70,TRUE())</f>
        <v>#REF!</v>
      </c>
      <c r="M70" s="0" t="e">
        <f aca="false" t="array" ref="M70:M70">IF(B70 &lt;&gt; "",IF(COUNTIF(concat(TRIM('Список прошлого года'!$B$2:$B$200),TRIM('Список прошлого года'!$C$2:$C$200)),concat(TRIM(B70),TRIM(C70))) &gt; 0,"Да","Нет"),"")</f>
        <v>#REF!</v>
      </c>
      <c r="N70" s="1" t="n">
        <v>74</v>
      </c>
      <c r="O70" s="1" t="n">
        <v>2</v>
      </c>
      <c r="Q70" s="1" t="n">
        <f aca="false">TRUE()</f>
        <v>1</v>
      </c>
      <c r="R70" s="1" t="n">
        <f aca="false">TRUE()</f>
        <v>1</v>
      </c>
      <c r="S70" s="1" t="n">
        <f aca="false">TRUE()</f>
        <v>1</v>
      </c>
      <c r="T70" s="1" t="n">
        <f aca="false">TRUE()</f>
        <v>1</v>
      </c>
      <c r="U70" s="1" t="n">
        <f aca="false">TRUE()</f>
        <v>1</v>
      </c>
      <c r="V70" s="1" t="n">
        <f aca="false">TRUE()</f>
        <v>1</v>
      </c>
      <c r="W70" s="1" t="n">
        <f aca="false">TRUE()</f>
        <v>1</v>
      </c>
      <c r="X70" s="1" t="n">
        <f aca="false">TRUE()</f>
        <v>1</v>
      </c>
      <c r="Y70" s="1" t="n">
        <f aca="false">TRUE()</f>
        <v>1</v>
      </c>
      <c r="Z70" s="1" t="n">
        <f aca="false">TRUE()</f>
        <v>1</v>
      </c>
      <c r="AA70" s="1" t="n">
        <f aca="false">TRUE()</f>
        <v>1</v>
      </c>
      <c r="AB70" s="1" t="n">
        <f aca="false">TRUE()</f>
        <v>1</v>
      </c>
      <c r="AC70" s="1" t="n">
        <f aca="false">TRUE()</f>
        <v>1</v>
      </c>
      <c r="AD70" s="1" t="n">
        <f aca="false">TRUE()</f>
        <v>1</v>
      </c>
      <c r="AE70" s="1" t="n">
        <f aca="false">TRUE()</f>
        <v>1</v>
      </c>
      <c r="AF70" s="1" t="n">
        <f aca="false">TRUE()</f>
        <v>1</v>
      </c>
      <c r="AG70" s="1" t="n">
        <f aca="false">TRUE()</f>
        <v>1</v>
      </c>
      <c r="AH70" s="1" t="n">
        <f aca="false">FALSE()</f>
        <v>0</v>
      </c>
      <c r="AI70" s="1" t="n">
        <f aca="false">FALSE()</f>
        <v>0</v>
      </c>
      <c r="AJ70" s="1" t="n">
        <f aca="false">TRUE()</f>
        <v>1</v>
      </c>
      <c r="AK70" s="1" t="n">
        <f aca="false" t="array" ref="AK70:AK70">SUM(IF(Q70:U70,1,0))</f>
        <v>5</v>
      </c>
      <c r="AL70" s="14" t="n">
        <f aca="false" t="array" ref="AL70:AL70">SUM(IF(V70:Z70,1,0))</f>
        <v>5</v>
      </c>
      <c r="AM70" s="14" t="n">
        <f aca="false" t="array" ref="AM70:AM70">SUM(IF(AA70:AE70,1,0))</f>
        <v>5</v>
      </c>
      <c r="AN70" s="14" t="n">
        <f aca="false" t="array" ref="AN70:AN70">SUM(IF(AF70:AJ70,1,0))</f>
        <v>3</v>
      </c>
      <c r="AO70" s="1" t="n">
        <f aca="false">FALSE()</f>
        <v>0</v>
      </c>
      <c r="AP70" s="1" t="n">
        <f aca="false">IF(O70 = 2,COUNTIF(Q70:AJ70,"TRUE"),-1)</f>
        <v>18</v>
      </c>
    </row>
    <row r="71" customFormat="false" ht="15.75" hidden="false" customHeight="false" outlineLevel="0" collapsed="false">
      <c r="A71" s="15" t="e">
        <f aca="true">INDIRECT("'Ответы на форму (1)'!A"&amp;$N71,TRUE())</f>
        <v>#REF!</v>
      </c>
      <c r="B71" s="16" t="e">
        <f aca="true">INDIRECT("'Ответы на форму (1)'!B"&amp;$N71,TRUE())</f>
        <v>#REF!</v>
      </c>
      <c r="C71" s="16" t="e">
        <f aca="true">INDIRECT("'Ответы на форму (1)'!C"&amp;$N71,TRUE())</f>
        <v>#REF!</v>
      </c>
      <c r="D71" s="16" t="e">
        <f aca="true">INDIRECT("'Ответы на форму (1)'!D"&amp;$N71,TRUE())</f>
        <v>#REF!</v>
      </c>
      <c r="E71" s="16" t="n">
        <f aca="false">IFERROR(__xludf.dummyfunction("iferror(VALUE(REGEXEXTRACT(TEXT(INDIRECT(""'Ответы на форму (1)'!E""&amp;$N71,TRUE),""####""),""[0-9]+"")),IF(IFERROR(SEARCH(""моцро"",INDIRECT(""'Ответы на форму (1)'!E""&amp;$N71,TRUE)),-1) &gt;= 0,117,INDIRECT(""'Ответы на форму (1)'!E""&amp;$N71,TRUE)))"),140)</f>
        <v>140</v>
      </c>
      <c r="F71" s="16" t="e">
        <f aca="true">INDIRECT("'Ответы на форму (1)'!F"&amp;$N71,TRUE())</f>
        <v>#REF!</v>
      </c>
      <c r="G71" s="17" t="e">
        <f aca="true">IFERROR(MID(INDIRECT("'Ответы на форму (1)'!G"&amp;$N71,TRUE()),SEARCH("vk.com",INDIRECT("'Ответы на форму (1)'!G"&amp;$N71,TRUE())),LEN(INDIRECT("'Ответы на форму (1)'!G"&amp;$N71,TRUE()))),INDIRECT("'Ответы на форму (1)'!G"&amp;$N71,TRUE()))</f>
        <v>#REF!</v>
      </c>
      <c r="H71" s="16" t="e">
        <f aca="true">INDIRECT("'Ответы на форму (1)'!H"&amp;$N71,TRUE())</f>
        <v>#REF!</v>
      </c>
      <c r="I71" s="16" t="e">
        <f aca="true">INDIRECT("'Ответы на форму (1)'!I"&amp;$N71,TRUE())</f>
        <v>#REF!</v>
      </c>
      <c r="J71" s="16" t="e">
        <f aca="true">INDIRECT("'Ответы на форму (1)'!J"&amp;$N71,TRUE())</f>
        <v>#REF!</v>
      </c>
      <c r="K71" s="16" t="e">
        <f aca="true">INDIRECT("'Ответы на форму (1)'!K"&amp;$N71,TRUE())</f>
        <v>#REF!</v>
      </c>
      <c r="L71" s="16" t="e">
        <f aca="true">INDIRECT("'Ответы на форму (1)'!L"&amp;$N71,TRUE())</f>
        <v>#REF!</v>
      </c>
      <c r="M71" s="16" t="e">
        <f aca="false" t="array" ref="M71:M71">IF(B71 &lt;&gt; "",IF(COUNTIF(concat(TRIM('Список прошлого года'!$B$2:$B$200),TRIM('Список прошлого года'!$C$2:$C$200)),concat(TRIM(B71),TRIM(C71))) &gt; 0,"Да","Нет"),"")</f>
        <v>#REF!</v>
      </c>
      <c r="N71" s="19" t="n">
        <v>75</v>
      </c>
      <c r="O71" s="19" t="n">
        <v>2</v>
      </c>
      <c r="P71" s="16"/>
      <c r="Q71" s="19" t="n">
        <f aca="false">TRUE()</f>
        <v>1</v>
      </c>
      <c r="R71" s="19" t="n">
        <f aca="false">TRUE()</f>
        <v>1</v>
      </c>
      <c r="S71" s="19" t="n">
        <f aca="false">TRUE()</f>
        <v>1</v>
      </c>
      <c r="T71" s="19" t="n">
        <f aca="false">TRUE()</f>
        <v>1</v>
      </c>
      <c r="U71" s="19" t="n">
        <f aca="false">FALSE()</f>
        <v>0</v>
      </c>
      <c r="V71" s="19" t="n">
        <f aca="false">TRUE()</f>
        <v>1</v>
      </c>
      <c r="W71" s="19" t="n">
        <f aca="false">TRUE()</f>
        <v>1</v>
      </c>
      <c r="X71" s="19" t="n">
        <f aca="false">TRUE()</f>
        <v>1</v>
      </c>
      <c r="Y71" s="19" t="n">
        <f aca="false">TRUE()</f>
        <v>1</v>
      </c>
      <c r="Z71" s="19" t="n">
        <f aca="false">FALSE()</f>
        <v>0</v>
      </c>
      <c r="AA71" s="19" t="n">
        <f aca="false">TRUE()</f>
        <v>1</v>
      </c>
      <c r="AB71" s="19" t="n">
        <f aca="false">TRUE()</f>
        <v>1</v>
      </c>
      <c r="AC71" s="19" t="n">
        <f aca="false">TRUE()</f>
        <v>1</v>
      </c>
      <c r="AD71" s="19" t="n">
        <f aca="false">TRUE()</f>
        <v>1</v>
      </c>
      <c r="AE71" s="19" t="n">
        <f aca="false">TRUE()</f>
        <v>1</v>
      </c>
      <c r="AF71" s="19" t="n">
        <f aca="false">TRUE()</f>
        <v>1</v>
      </c>
      <c r="AG71" s="19" t="n">
        <f aca="false">TRUE()</f>
        <v>1</v>
      </c>
      <c r="AH71" s="19" t="n">
        <f aca="false">TRUE()</f>
        <v>1</v>
      </c>
      <c r="AI71" s="19" t="n">
        <f aca="false">TRUE()</f>
        <v>1</v>
      </c>
      <c r="AJ71" s="19" t="n">
        <f aca="false">TRUE()</f>
        <v>1</v>
      </c>
      <c r="AK71" s="19" t="n">
        <f aca="false" t="array" ref="AK71:AK71">SUM(IF(Q71:U71,1,0))</f>
        <v>4</v>
      </c>
      <c r="AL71" s="20" t="n">
        <f aca="false" t="array" ref="AL71:AL71">SUM(IF(V71:Z71,1,0))</f>
        <v>4</v>
      </c>
      <c r="AM71" s="20" t="n">
        <f aca="false" t="array" ref="AM71:AM71">SUM(IF(AA71:AE71,1,0))</f>
        <v>5</v>
      </c>
      <c r="AN71" s="20" t="n">
        <f aca="false" t="array" ref="AN71:AN71">SUM(IF(AF71:AJ71,1,0))</f>
        <v>5</v>
      </c>
      <c r="AO71" s="19" t="n">
        <f aca="false">FALSE()</f>
        <v>0</v>
      </c>
      <c r="AP71" s="1" t="n">
        <f aca="false">IF(O71 = 2,COUNTIF(Q71:AJ71,"TRUE"),-1)</f>
        <v>18</v>
      </c>
    </row>
    <row r="72" customFormat="false" ht="15.75" hidden="false" customHeight="false" outlineLevel="0" collapsed="false">
      <c r="A72" s="8" t="e">
        <f aca="true">INDIRECT("'Ответы на форму (1)'!A"&amp;$N72,TRUE())</f>
        <v>#REF!</v>
      </c>
      <c r="B72" s="0" t="e">
        <f aca="true">INDIRECT("'Ответы на форму (1)'!B"&amp;$N72,TRUE())</f>
        <v>#REF!</v>
      </c>
      <c r="C72" s="0" t="e">
        <f aca="true">INDIRECT("'Ответы на форму (1)'!C"&amp;$N72,TRUE())</f>
        <v>#REF!</v>
      </c>
      <c r="D72" s="0" t="e">
        <f aca="true">INDIRECT("'Ответы на форму (1)'!D"&amp;$N72,TRUE())</f>
        <v>#REF!</v>
      </c>
      <c r="E72" s="0" t="n">
        <f aca="false">IFERROR(__xludf.dummyfunction("iferror(VALUE(REGEXEXTRACT(TEXT(INDIRECT(""'Ответы на форму (1)'!E""&amp;$N72,TRUE),""####""),""[0-9]+"")),IF(IFERROR(SEARCH(""моцро"",INDIRECT(""'Ответы на форму (1)'!E""&amp;$N72,TRUE)),-1) &gt;= 0,117,INDIRECT(""'Ответы на форму (1)'!E""&amp;$N72,TRUE)))"),117)</f>
        <v>117</v>
      </c>
      <c r="F72" s="0" t="e">
        <f aca="true">INDIRECT("'Ответы на форму (1)'!F"&amp;$N72,TRUE())</f>
        <v>#REF!</v>
      </c>
      <c r="G72" s="9" t="e">
        <f aca="true">IFERROR(MID(INDIRECT("'Ответы на форму (1)'!G"&amp;$N72,TRUE()),SEARCH("vk.com",INDIRECT("'Ответы на форму (1)'!G"&amp;$N72,TRUE())),LEN(INDIRECT("'Ответы на форму (1)'!G"&amp;$N72,TRUE()))),INDIRECT("'Ответы на форму (1)'!G"&amp;$N72,TRUE()))</f>
        <v>#REF!</v>
      </c>
      <c r="H72" s="0" t="e">
        <f aca="true">INDIRECT("'Ответы на форму (1)'!H"&amp;$N72,TRUE())</f>
        <v>#REF!</v>
      </c>
      <c r="I72" s="12" t="e">
        <f aca="true">INDIRECT("'Ответы на форму (1)'!I"&amp;$N72,TRUE())</f>
        <v>#REF!</v>
      </c>
      <c r="J72" s="12" t="e">
        <f aca="true">INDIRECT("'Ответы на форму (1)'!J"&amp;$N72,TRUE())</f>
        <v>#REF!</v>
      </c>
      <c r="K72" s="12" t="e">
        <f aca="true">INDIRECT("'Ответы на форму (1)'!K"&amp;$N72,TRUE())</f>
        <v>#REF!</v>
      </c>
      <c r="L72" s="12" t="e">
        <f aca="true">INDIRECT("'Ответы на форму (1)'!L"&amp;$N72,TRUE())</f>
        <v>#REF!</v>
      </c>
      <c r="M72" s="0" t="e">
        <f aca="false" t="array" ref="M72:M72">IF(B72 &lt;&gt; "",IF(COUNTIF(concat(TRIM('Список прошлого года'!$B$2:$B$200),TRIM('Список прошлого года'!$C$2:$C$200)),concat(TRIM(B72),TRIM(C72))) &gt; 0,"Да","Нет"),"")</f>
        <v>#REF!</v>
      </c>
      <c r="N72" s="1" t="n">
        <v>76</v>
      </c>
      <c r="O72" s="1" t="n">
        <v>2</v>
      </c>
      <c r="Q72" s="1" t="n">
        <f aca="false">TRUE()</f>
        <v>1</v>
      </c>
      <c r="R72" s="1" t="n">
        <f aca="false">TRUE()</f>
        <v>1</v>
      </c>
      <c r="S72" s="1" t="n">
        <f aca="false">TRUE()</f>
        <v>1</v>
      </c>
      <c r="T72" s="1" t="n">
        <f aca="false">TRUE()</f>
        <v>1</v>
      </c>
      <c r="U72" s="1" t="n">
        <f aca="false">TRUE()</f>
        <v>1</v>
      </c>
      <c r="V72" s="1" t="n">
        <f aca="false">TRUE()</f>
        <v>1</v>
      </c>
      <c r="W72" s="1" t="n">
        <f aca="false">TRUE()</f>
        <v>1</v>
      </c>
      <c r="X72" s="1" t="n">
        <f aca="false">TRUE()</f>
        <v>1</v>
      </c>
      <c r="Y72" s="1" t="n">
        <f aca="false">TRUE()</f>
        <v>1</v>
      </c>
      <c r="Z72" s="1" t="n">
        <f aca="false">TRUE()</f>
        <v>1</v>
      </c>
      <c r="AA72" s="1" t="n">
        <f aca="false">TRUE()</f>
        <v>1</v>
      </c>
      <c r="AB72" s="1" t="n">
        <f aca="false">TRUE()</f>
        <v>1</v>
      </c>
      <c r="AC72" s="1" t="n">
        <f aca="false">TRUE()</f>
        <v>1</v>
      </c>
      <c r="AD72" s="1" t="n">
        <f aca="false">TRUE()</f>
        <v>1</v>
      </c>
      <c r="AE72" s="1" t="n">
        <f aca="false">FALSE()</f>
        <v>0</v>
      </c>
      <c r="AF72" s="1" t="n">
        <f aca="false">TRUE()</f>
        <v>1</v>
      </c>
      <c r="AG72" s="1" t="n">
        <f aca="false">TRUE()</f>
        <v>1</v>
      </c>
      <c r="AH72" s="1" t="n">
        <f aca="false">FALSE()</f>
        <v>0</v>
      </c>
      <c r="AI72" s="1" t="n">
        <f aca="false">TRUE()</f>
        <v>1</v>
      </c>
      <c r="AJ72" s="1" t="n">
        <f aca="false">FALSE()</f>
        <v>0</v>
      </c>
      <c r="AK72" s="1" t="n">
        <f aca="false" t="array" ref="AK72:AK72">SUM(IF(Q72:U72,1,0))</f>
        <v>5</v>
      </c>
      <c r="AL72" s="14" t="n">
        <f aca="false" t="array" ref="AL72:AL72">SUM(IF(V72:Z72,1,0))</f>
        <v>5</v>
      </c>
      <c r="AM72" s="14" t="n">
        <f aca="false" t="array" ref="AM72:AM72">SUM(IF(AA72:AE72,1,0))</f>
        <v>4</v>
      </c>
      <c r="AN72" s="14" t="n">
        <f aca="false" t="array" ref="AN72:AN72">SUM(IF(AF72:AJ72,1,0))</f>
        <v>3</v>
      </c>
      <c r="AO72" s="1" t="n">
        <f aca="false">FALSE()</f>
        <v>0</v>
      </c>
      <c r="AP72" s="1" t="n">
        <f aca="false">IF(O72 = 2,COUNTIF(Q72:AJ72,"TRUE"),-1)</f>
        <v>17</v>
      </c>
    </row>
    <row r="73" customFormat="false" ht="15.75" hidden="false" customHeight="false" outlineLevel="0" collapsed="false">
      <c r="A73" s="15" t="e">
        <f aca="true">INDIRECT("'Ответы на форму (1)'!A"&amp;$N73,TRUE())</f>
        <v>#REF!</v>
      </c>
      <c r="B73" s="16" t="e">
        <f aca="true">INDIRECT("'Ответы на форму (1)'!B"&amp;$N73,TRUE())</f>
        <v>#REF!</v>
      </c>
      <c r="C73" s="16" t="e">
        <f aca="true">INDIRECT("'Ответы на форму (1)'!C"&amp;$N73,TRUE())</f>
        <v>#REF!</v>
      </c>
      <c r="D73" s="16" t="e">
        <f aca="true">INDIRECT("'Ответы на форму (1)'!D"&amp;$N73,TRUE())</f>
        <v>#REF!</v>
      </c>
      <c r="E73" s="16" t="n">
        <f aca="false">IFERROR(__xludf.dummyfunction("iferror(VALUE(REGEXEXTRACT(TEXT(INDIRECT(""'Ответы на форму (1)'!E""&amp;$N73,TRUE),""####""),""[0-9]+"")),IF(IFERROR(SEARCH(""моцро"",INDIRECT(""'Ответы на форму (1)'!E""&amp;$N73,TRUE)),-1) &gt;= 0,117,INDIRECT(""'Ответы на форму (1)'!E""&amp;$N73,TRUE)))"),117)</f>
        <v>117</v>
      </c>
      <c r="F73" s="16" t="e">
        <f aca="true">INDIRECT("'Ответы на форму (1)'!F"&amp;$N73,TRUE())</f>
        <v>#REF!</v>
      </c>
      <c r="G73" s="17" t="e">
        <f aca="true">IFERROR(MID(INDIRECT("'Ответы на форму (1)'!G"&amp;$N73,TRUE()),SEARCH("vk.com",INDIRECT("'Ответы на форму (1)'!G"&amp;$N73,TRUE())),LEN(INDIRECT("'Ответы на форму (1)'!G"&amp;$N73,TRUE()))),INDIRECT("'Ответы на форму (1)'!G"&amp;$N73,TRUE()))</f>
        <v>#REF!</v>
      </c>
      <c r="H73" s="16" t="e">
        <f aca="true">INDIRECT("'Ответы на форму (1)'!H"&amp;$N73,TRUE())</f>
        <v>#REF!</v>
      </c>
      <c r="I73" s="16" t="e">
        <f aca="true">INDIRECT("'Ответы на форму (1)'!I"&amp;$N73,TRUE())</f>
        <v>#REF!</v>
      </c>
      <c r="J73" s="16" t="e">
        <f aca="true">INDIRECT("'Ответы на форму (1)'!J"&amp;$N73,TRUE())</f>
        <v>#REF!</v>
      </c>
      <c r="K73" s="16" t="e">
        <f aca="true">INDIRECT("'Ответы на форму (1)'!K"&amp;$N73,TRUE())</f>
        <v>#REF!</v>
      </c>
      <c r="L73" s="16" t="e">
        <f aca="true">INDIRECT("'Ответы на форму (1)'!L"&amp;$N73,TRUE())</f>
        <v>#REF!</v>
      </c>
      <c r="M73" s="16" t="e">
        <f aca="false" t="array" ref="M73:M73">IF(B73 &lt;&gt; "",IF(COUNTIF(concat(TRIM('Список прошлого года'!$B$2:$B$200),TRIM('Список прошлого года'!$C$2:$C$200)),concat(TRIM(B73),TRIM(C73))) &gt; 0,"Да","Нет"),"")</f>
        <v>#REF!</v>
      </c>
      <c r="N73" s="19" t="n">
        <v>77</v>
      </c>
      <c r="O73" s="19" t="n">
        <v>2</v>
      </c>
      <c r="P73" s="16"/>
      <c r="Q73" s="19" t="n">
        <f aca="false">TRUE()</f>
        <v>1</v>
      </c>
      <c r="R73" s="19" t="n">
        <f aca="false">TRUE()</f>
        <v>1</v>
      </c>
      <c r="S73" s="19" t="n">
        <f aca="false">TRUE()</f>
        <v>1</v>
      </c>
      <c r="T73" s="19" t="n">
        <f aca="false">FALSE()</f>
        <v>0</v>
      </c>
      <c r="U73" s="19" t="n">
        <f aca="false">TRUE()</f>
        <v>1</v>
      </c>
      <c r="V73" s="19" t="n">
        <f aca="false">TRUE()</f>
        <v>1</v>
      </c>
      <c r="W73" s="19" t="n">
        <f aca="false">TRUE()</f>
        <v>1</v>
      </c>
      <c r="X73" s="19" t="n">
        <f aca="false">TRUE()</f>
        <v>1</v>
      </c>
      <c r="Y73" s="19" t="n">
        <f aca="false">FALSE()</f>
        <v>0</v>
      </c>
      <c r="Z73" s="19" t="n">
        <f aca="false">TRUE()</f>
        <v>1</v>
      </c>
      <c r="AA73" s="19" t="n">
        <f aca="false">FALSE()</f>
        <v>0</v>
      </c>
      <c r="AB73" s="19" t="n">
        <f aca="false">FALSE()</f>
        <v>0</v>
      </c>
      <c r="AC73" s="19" t="n">
        <f aca="false">FALSE()</f>
        <v>0</v>
      </c>
      <c r="AD73" s="19" t="n">
        <f aca="false">FALSE()</f>
        <v>0</v>
      </c>
      <c r="AE73" s="19" t="n">
        <f aca="false">FALSE()</f>
        <v>0</v>
      </c>
      <c r="AF73" s="19" t="n">
        <f aca="false">TRUE()</f>
        <v>1</v>
      </c>
      <c r="AG73" s="19" t="n">
        <f aca="false">FALSE()</f>
        <v>0</v>
      </c>
      <c r="AH73" s="19" t="n">
        <f aca="false">FALSE()</f>
        <v>0</v>
      </c>
      <c r="AI73" s="19" t="n">
        <f aca="false">TRUE()</f>
        <v>1</v>
      </c>
      <c r="AJ73" s="19" t="n">
        <f aca="false">TRUE()</f>
        <v>1</v>
      </c>
      <c r="AK73" s="19" t="n">
        <f aca="false" t="array" ref="AK73:AK73">SUM(IF(Q73:U73,1,0))</f>
        <v>4</v>
      </c>
      <c r="AL73" s="20" t="n">
        <f aca="false" t="array" ref="AL73:AL73">SUM(IF(V73:Z73,1,0))</f>
        <v>4</v>
      </c>
      <c r="AM73" s="20" t="n">
        <f aca="false" t="array" ref="AM73:AM73">SUM(IF(AA73:AE73,1,0))</f>
        <v>0</v>
      </c>
      <c r="AN73" s="20" t="n">
        <f aca="false" t="array" ref="AN73:AN73">SUM(IF(AF73:AJ73,1,0))</f>
        <v>3</v>
      </c>
      <c r="AO73" s="19" t="n">
        <f aca="false">TRUE()</f>
        <v>1</v>
      </c>
      <c r="AP73" s="1" t="n">
        <f aca="false">IF(O73 = 2,COUNTIF(Q73:AJ73,"TRUE"),-1)</f>
        <v>11</v>
      </c>
    </row>
    <row r="74" customFormat="false" ht="15.75" hidden="false" customHeight="false" outlineLevel="0" collapsed="false">
      <c r="A74" s="15" t="e">
        <f aca="true">INDIRECT("'Ответы на форму (1)'!A"&amp;$N74,TRUE())</f>
        <v>#REF!</v>
      </c>
      <c r="B74" s="16" t="e">
        <f aca="true">INDIRECT("'Ответы на форму (1)'!B"&amp;$N74,TRUE())</f>
        <v>#REF!</v>
      </c>
      <c r="C74" s="16" t="e">
        <f aca="true">INDIRECT("'Ответы на форму (1)'!C"&amp;$N74,TRUE())</f>
        <v>#REF!</v>
      </c>
      <c r="D74" s="16" t="e">
        <f aca="true">INDIRECT("'Ответы на форму (1)'!D"&amp;$N74,TRUE())</f>
        <v>#REF!</v>
      </c>
      <c r="E74" s="16" t="n">
        <f aca="false">IFERROR(__xludf.dummyfunction("iferror(VALUE(REGEXEXTRACT(TEXT(INDIRECT(""'Ответы на форму (1)'!E""&amp;$N74,TRUE),""####""),""[0-9]+"")),IF(IFERROR(SEARCH(""моцро"",INDIRECT(""'Ответы на форму (1)'!E""&amp;$N74,TRUE)),-1) &gt;= 0,117,INDIRECT(""'Ответы на форму (1)'!E""&amp;$N74,TRUE)))"),19)</f>
        <v>19</v>
      </c>
      <c r="F74" s="16" t="e">
        <f aca="true">INDIRECT("'Ответы на форму (1)'!F"&amp;$N74,TRUE())</f>
        <v>#REF!</v>
      </c>
      <c r="G74" s="17" t="e">
        <f aca="true">IFERROR(MID(INDIRECT("'Ответы на форму (1)'!G"&amp;$N74,TRUE()),SEARCH("vk.com",INDIRECT("'Ответы на форму (1)'!G"&amp;$N74,TRUE())),LEN(INDIRECT("'Ответы на форму (1)'!G"&amp;$N74,TRUE()))),INDIRECT("'Ответы на форму (1)'!G"&amp;$N74,TRUE()))</f>
        <v>#REF!</v>
      </c>
      <c r="H74" s="16" t="e">
        <f aca="true">INDIRECT("'Ответы на форму (1)'!H"&amp;$N74,TRUE())</f>
        <v>#REF!</v>
      </c>
      <c r="I74" s="16" t="e">
        <f aca="true">INDIRECT("'Ответы на форму (1)'!I"&amp;$N74,TRUE())</f>
        <v>#REF!</v>
      </c>
      <c r="J74" s="16" t="e">
        <f aca="true">INDIRECT("'Ответы на форму (1)'!J"&amp;$N74,TRUE())</f>
        <v>#REF!</v>
      </c>
      <c r="K74" s="16" t="e">
        <f aca="true">INDIRECT("'Ответы на форму (1)'!K"&amp;$N74,TRUE())</f>
        <v>#REF!</v>
      </c>
      <c r="L74" s="16" t="e">
        <f aca="true">INDIRECT("'Ответы на форму (1)'!L"&amp;$N74,TRUE())</f>
        <v>#REF!</v>
      </c>
      <c r="M74" s="16" t="e">
        <f aca="false" t="array" ref="M74:M74">IF(B74 &lt;&gt; "",IF(COUNTIF(concat(TRIM('Список прошлого года'!$B$2:$B$200),TRIM('Список прошлого года'!$C$2:$C$200)),concat(TRIM(B74),TRIM(C74))) &gt; 0,"Да","Нет"),"")</f>
        <v>#REF!</v>
      </c>
      <c r="N74" s="19" t="n">
        <v>78</v>
      </c>
      <c r="O74" s="19" t="n">
        <v>2</v>
      </c>
      <c r="P74" s="16"/>
      <c r="Q74" s="19" t="n">
        <f aca="false">TRUE()</f>
        <v>1</v>
      </c>
      <c r="R74" s="19" t="n">
        <f aca="false">TRUE()</f>
        <v>1</v>
      </c>
      <c r="S74" s="19" t="n">
        <f aca="false">TRUE()</f>
        <v>1</v>
      </c>
      <c r="T74" s="19" t="n">
        <f aca="false">TRUE()</f>
        <v>1</v>
      </c>
      <c r="U74" s="19" t="n">
        <f aca="false">TRUE()</f>
        <v>1</v>
      </c>
      <c r="V74" s="19" t="n">
        <f aca="false">TRUE()</f>
        <v>1</v>
      </c>
      <c r="W74" s="19" t="n">
        <f aca="false">TRUE()</f>
        <v>1</v>
      </c>
      <c r="X74" s="19" t="n">
        <f aca="false">TRUE()</f>
        <v>1</v>
      </c>
      <c r="Y74" s="19" t="n">
        <f aca="false">TRUE()</f>
        <v>1</v>
      </c>
      <c r="Z74" s="19" t="n">
        <f aca="false">TRUE()</f>
        <v>1</v>
      </c>
      <c r="AA74" s="19" t="n">
        <f aca="false">FALSE()</f>
        <v>0</v>
      </c>
      <c r="AB74" s="19" t="n">
        <f aca="false">FALSE()</f>
        <v>0</v>
      </c>
      <c r="AC74" s="19" t="n">
        <f aca="false">FALSE()</f>
        <v>0</v>
      </c>
      <c r="AD74" s="19" t="n">
        <f aca="false">FALSE()</f>
        <v>0</v>
      </c>
      <c r="AE74" s="19" t="n">
        <f aca="false">FALSE()</f>
        <v>0</v>
      </c>
      <c r="AF74" s="19" t="n">
        <f aca="false">FALSE()</f>
        <v>0</v>
      </c>
      <c r="AG74" s="19" t="n">
        <f aca="false">FALSE()</f>
        <v>0</v>
      </c>
      <c r="AH74" s="19" t="n">
        <f aca="false">FALSE()</f>
        <v>0</v>
      </c>
      <c r="AI74" s="19" t="n">
        <f aca="false">FALSE()</f>
        <v>0</v>
      </c>
      <c r="AJ74" s="19" t="n">
        <f aca="false">FALSE()</f>
        <v>0</v>
      </c>
      <c r="AK74" s="19" t="n">
        <f aca="false" t="array" ref="AK74:AK74">SUM(IF(Q74:U74,1,0))</f>
        <v>5</v>
      </c>
      <c r="AL74" s="20" t="n">
        <f aca="false" t="array" ref="AL74:AL74">SUM(IF(V74:Z74,1,0))</f>
        <v>5</v>
      </c>
      <c r="AM74" s="20" t="n">
        <f aca="false" t="array" ref="AM74:AM74">SUM(IF(AA74:AE74,1,0))</f>
        <v>0</v>
      </c>
      <c r="AN74" s="20" t="n">
        <f aca="false" t="array" ref="AN74:AN74">SUM(IF(AF74:AJ74,1,0))</f>
        <v>0</v>
      </c>
      <c r="AO74" s="19" t="n">
        <f aca="false">TRUE()</f>
        <v>1</v>
      </c>
      <c r="AP74" s="1" t="n">
        <f aca="false">IF(O74 = 2,COUNTIF(Q74:AJ74,"TRUE"),-1)</f>
        <v>10</v>
      </c>
    </row>
    <row r="75" customFormat="false" ht="15.75" hidden="false" customHeight="false" outlineLevel="0" collapsed="false">
      <c r="A75" s="8" t="e">
        <f aca="true">INDIRECT("'Ответы на форму (1)'!A"&amp;$N75,TRUE())</f>
        <v>#REF!</v>
      </c>
      <c r="B75" s="0" t="e">
        <f aca="true">INDIRECT("'Ответы на форму (1)'!B"&amp;$N75,TRUE())</f>
        <v>#REF!</v>
      </c>
      <c r="C75" s="0" t="e">
        <f aca="true">INDIRECT("'Ответы на форму (1)'!C"&amp;$N75,TRUE())</f>
        <v>#REF!</v>
      </c>
      <c r="D75" s="0" t="e">
        <f aca="true">INDIRECT("'Ответы на форму (1)'!D"&amp;$N75,TRUE())</f>
        <v>#REF!</v>
      </c>
      <c r="E75" s="0" t="n">
        <f aca="false">IFERROR(__xludf.dummyfunction("iferror(VALUE(REGEXEXTRACT(TEXT(INDIRECT(""'Ответы на форму (1)'!E""&amp;$N75,TRUE),""####""),""[0-9]+"")),IF(IFERROR(SEARCH(""моцро"",INDIRECT(""'Ответы на форму (1)'!E""&amp;$N75,TRUE)),-1) &gt;= 0,117,INDIRECT(""'Ответы на форму (1)'!E""&amp;$N75,TRUE)))"),69)</f>
        <v>69</v>
      </c>
      <c r="F75" s="0" t="e">
        <f aca="true">INDIRECT("'Ответы на форму (1)'!F"&amp;$N75,TRUE())</f>
        <v>#REF!</v>
      </c>
      <c r="G75" s="9" t="e">
        <f aca="true">IFERROR(MID(INDIRECT("'Ответы на форму (1)'!G"&amp;$N75,TRUE()),SEARCH("vk.com",INDIRECT("'Ответы на форму (1)'!G"&amp;$N75,TRUE())),LEN(INDIRECT("'Ответы на форму (1)'!G"&amp;$N75,TRUE()))),INDIRECT("'Ответы на форму (1)'!G"&amp;$N75,TRUE()))</f>
        <v>#REF!</v>
      </c>
      <c r="H75" s="0" t="e">
        <f aca="true">INDIRECT("'Ответы на форму (1)'!H"&amp;$N75,TRUE())</f>
        <v>#REF!</v>
      </c>
      <c r="I75" s="12" t="e">
        <f aca="true">INDIRECT("'Ответы на форму (1)'!I"&amp;$N75,TRUE())</f>
        <v>#REF!</v>
      </c>
      <c r="J75" s="12" t="e">
        <f aca="true">INDIRECT("'Ответы на форму (1)'!J"&amp;$N75,TRUE())</f>
        <v>#REF!</v>
      </c>
      <c r="K75" s="12" t="e">
        <f aca="true">INDIRECT("'Ответы на форму (1)'!K"&amp;$N75,TRUE())</f>
        <v>#REF!</v>
      </c>
      <c r="L75" s="12" t="e">
        <f aca="true">INDIRECT("'Ответы на форму (1)'!L"&amp;$N75,TRUE())</f>
        <v>#REF!</v>
      </c>
      <c r="M75" s="0" t="e">
        <f aca="false" t="array" ref="M75:M75">IF(B75 &lt;&gt; "",IF(COUNTIF(concat(TRIM('Список прошлого года'!$B$2:$B$200),TRIM('Список прошлого года'!$C$2:$C$200)),concat(TRIM(B75),TRIM(C75))) &gt; 0,"Да","Нет"),"")</f>
        <v>#REF!</v>
      </c>
      <c r="N75" s="1" t="n">
        <v>79</v>
      </c>
      <c r="O75" s="1" t="n">
        <v>-1</v>
      </c>
      <c r="Q75" s="1" t="n">
        <f aca="false">FALSE()</f>
        <v>0</v>
      </c>
      <c r="R75" s="1" t="n">
        <f aca="false">FALSE()</f>
        <v>0</v>
      </c>
      <c r="S75" s="1" t="n">
        <f aca="false">FALSE()</f>
        <v>0</v>
      </c>
      <c r="T75" s="1" t="n">
        <f aca="false">FALSE()</f>
        <v>0</v>
      </c>
      <c r="U75" s="1" t="n">
        <f aca="false">FALSE()</f>
        <v>0</v>
      </c>
      <c r="V75" s="1" t="n">
        <f aca="false">FALSE()</f>
        <v>0</v>
      </c>
      <c r="W75" s="1" t="n">
        <f aca="false">FALSE()</f>
        <v>0</v>
      </c>
      <c r="X75" s="1" t="n">
        <f aca="false">FALSE()</f>
        <v>0</v>
      </c>
      <c r="Y75" s="1" t="n">
        <f aca="false">FALSE()</f>
        <v>0</v>
      </c>
      <c r="Z75" s="1" t="n">
        <f aca="false">FALSE()</f>
        <v>0</v>
      </c>
      <c r="AA75" s="1" t="n">
        <f aca="false">FALSE()</f>
        <v>0</v>
      </c>
      <c r="AB75" s="1" t="n">
        <f aca="false">FALSE()</f>
        <v>0</v>
      </c>
      <c r="AC75" s="1" t="n">
        <f aca="false">FALSE()</f>
        <v>0</v>
      </c>
      <c r="AD75" s="1" t="n">
        <f aca="false">FALSE()</f>
        <v>0</v>
      </c>
      <c r="AE75" s="1" t="n">
        <f aca="false">FALSE()</f>
        <v>0</v>
      </c>
      <c r="AF75" s="1" t="n">
        <f aca="false">FALSE()</f>
        <v>0</v>
      </c>
      <c r="AG75" s="1" t="n">
        <f aca="false">FALSE()</f>
        <v>0</v>
      </c>
      <c r="AH75" s="1" t="n">
        <f aca="false">FALSE()</f>
        <v>0</v>
      </c>
      <c r="AI75" s="1" t="n">
        <f aca="false">FALSE()</f>
        <v>0</v>
      </c>
      <c r="AJ75" s="1" t="n">
        <f aca="false">FALSE()</f>
        <v>0</v>
      </c>
      <c r="AK75" s="1" t="n">
        <f aca="false" t="array" ref="AK75:AK75">SUM(IF(Q75:U75,1,0))</f>
        <v>0</v>
      </c>
      <c r="AL75" s="14" t="n">
        <f aca="false" t="array" ref="AL75:AL75">SUM(IF(V75:Z75,1,0))</f>
        <v>0</v>
      </c>
      <c r="AM75" s="14" t="n">
        <f aca="false" t="array" ref="AM75:AM75">SUM(IF(AA75:AE75,1,0))</f>
        <v>0</v>
      </c>
      <c r="AN75" s="14" t="n">
        <f aca="false" t="array" ref="AN75:AN75">SUM(IF(AF75:AJ75,1,0))</f>
        <v>0</v>
      </c>
      <c r="AO75" s="1" t="n">
        <f aca="false">FALSE()</f>
        <v>0</v>
      </c>
      <c r="AP75" s="1" t="n">
        <f aca="false">IF(O75 = 2,COUNTIF(Q75:AJ75,"TRUE"),-1)</f>
        <v>-1</v>
      </c>
    </row>
    <row r="76" customFormat="false" ht="15.75" hidden="false" customHeight="false" outlineLevel="0" collapsed="false">
      <c r="A76" s="8" t="e">
        <f aca="true">INDIRECT("'Ответы на форму (1)'!A"&amp;$N76,TRUE())</f>
        <v>#REF!</v>
      </c>
      <c r="B76" s="0" t="e">
        <f aca="true">INDIRECT("'Ответы на форму (1)'!B"&amp;$N76,TRUE())</f>
        <v>#REF!</v>
      </c>
      <c r="C76" s="0" t="e">
        <f aca="true">INDIRECT("'Ответы на форму (1)'!C"&amp;$N76,TRUE())</f>
        <v>#REF!</v>
      </c>
      <c r="D76" s="0" t="e">
        <f aca="true">INDIRECT("'Ответы на форму (1)'!D"&amp;$N76,TRUE())</f>
        <v>#REF!</v>
      </c>
      <c r="E76" s="0" t="n">
        <f aca="false">IFERROR(__xludf.dummyfunction("iferror(VALUE(REGEXEXTRACT(TEXT(INDIRECT(""'Ответы на форму (1)'!E""&amp;$N76,TRUE),""####""),""[0-9]+"")),IF(IFERROR(SEARCH(""моцро"",INDIRECT(""'Ответы на форму (1)'!E""&amp;$N76,TRUE)),-1) &gt;= 0,117,INDIRECT(""'Ответы на форму (1)'!E""&amp;$N76,TRUE)))"),92)</f>
        <v>92</v>
      </c>
      <c r="F76" s="0" t="e">
        <f aca="true">INDIRECT("'Ответы на форму (1)'!F"&amp;$N76,TRUE())</f>
        <v>#REF!</v>
      </c>
      <c r="G76" s="9" t="e">
        <f aca="true">IFERROR(MID(INDIRECT("'Ответы на форму (1)'!G"&amp;$N76,TRUE()),SEARCH("vk.com",INDIRECT("'Ответы на форму (1)'!G"&amp;$N76,TRUE())),LEN(INDIRECT("'Ответы на форму (1)'!G"&amp;$N76,TRUE()))),INDIRECT("'Ответы на форму (1)'!G"&amp;$N76,TRUE()))</f>
        <v>#REF!</v>
      </c>
      <c r="H76" s="0" t="e">
        <f aca="true">INDIRECT("'Ответы на форму (1)'!H"&amp;$N76,TRUE())</f>
        <v>#REF!</v>
      </c>
      <c r="I76" s="12" t="e">
        <f aca="true">INDIRECT("'Ответы на форму (1)'!I"&amp;$N76,TRUE())</f>
        <v>#REF!</v>
      </c>
      <c r="J76" s="12" t="e">
        <f aca="true">INDIRECT("'Ответы на форму (1)'!J"&amp;$N76,TRUE())</f>
        <v>#REF!</v>
      </c>
      <c r="K76" s="12" t="e">
        <f aca="true">INDIRECT("'Ответы на форму (1)'!K"&amp;$N76,TRUE())</f>
        <v>#REF!</v>
      </c>
      <c r="L76" s="12" t="e">
        <f aca="true">INDIRECT("'Ответы на форму (1)'!L"&amp;$N76,TRUE())</f>
        <v>#REF!</v>
      </c>
      <c r="M76" s="0" t="e">
        <f aca="false" t="array" ref="M76:M76">IF(B76 &lt;&gt; "",IF(COUNTIF(concat(TRIM('Список прошлого года'!$B$2:$B$200),TRIM('Список прошлого года'!$C$2:$C$200)),concat(TRIM(B76),TRIM(C76))) &gt; 0,"Да","Нет"),"")</f>
        <v>#REF!</v>
      </c>
      <c r="N76" s="1" t="n">
        <v>80</v>
      </c>
      <c r="O76" s="1" t="n">
        <v>1</v>
      </c>
      <c r="Q76" s="1" t="n">
        <f aca="false">FALSE()</f>
        <v>0</v>
      </c>
      <c r="R76" s="1" t="n">
        <f aca="false">FALSE()</f>
        <v>0</v>
      </c>
      <c r="S76" s="1" t="n">
        <f aca="false">FALSE()</f>
        <v>0</v>
      </c>
      <c r="T76" s="1" t="n">
        <f aca="false">FALSE()</f>
        <v>0</v>
      </c>
      <c r="U76" s="1" t="n">
        <f aca="false">FALSE()</f>
        <v>0</v>
      </c>
      <c r="V76" s="1" t="n">
        <f aca="false">FALSE()</f>
        <v>0</v>
      </c>
      <c r="W76" s="1" t="n">
        <f aca="false">FALSE()</f>
        <v>0</v>
      </c>
      <c r="X76" s="1" t="n">
        <f aca="false">FALSE()</f>
        <v>0</v>
      </c>
      <c r="Y76" s="1" t="n">
        <f aca="false">FALSE()</f>
        <v>0</v>
      </c>
      <c r="Z76" s="1" t="n">
        <f aca="false">FALSE()</f>
        <v>0</v>
      </c>
      <c r="AA76" s="1" t="n">
        <f aca="false">FALSE()</f>
        <v>0</v>
      </c>
      <c r="AB76" s="1" t="n">
        <f aca="false">FALSE()</f>
        <v>0</v>
      </c>
      <c r="AC76" s="1" t="n">
        <f aca="false">FALSE()</f>
        <v>0</v>
      </c>
      <c r="AD76" s="1" t="n">
        <f aca="false">FALSE()</f>
        <v>0</v>
      </c>
      <c r="AE76" s="1" t="n">
        <f aca="false">FALSE()</f>
        <v>0</v>
      </c>
      <c r="AF76" s="1" t="n">
        <f aca="false">FALSE()</f>
        <v>0</v>
      </c>
      <c r="AG76" s="1" t="n">
        <f aca="false">FALSE()</f>
        <v>0</v>
      </c>
      <c r="AH76" s="1" t="n">
        <f aca="false">FALSE()</f>
        <v>0</v>
      </c>
      <c r="AI76" s="1" t="n">
        <f aca="false">FALSE()</f>
        <v>0</v>
      </c>
      <c r="AJ76" s="1" t="n">
        <f aca="false">FALSE()</f>
        <v>0</v>
      </c>
      <c r="AK76" s="1" t="n">
        <f aca="false" t="array" ref="AK76:AK76">SUM(IF(Q76:U76,1,0))</f>
        <v>0</v>
      </c>
      <c r="AL76" s="14" t="n">
        <f aca="false" t="array" ref="AL76:AL76">SUM(IF(V76:Z76,1,0))</f>
        <v>0</v>
      </c>
      <c r="AM76" s="14" t="n">
        <f aca="false" t="array" ref="AM76:AM76">SUM(IF(AA76:AE76,1,0))</f>
        <v>0</v>
      </c>
      <c r="AN76" s="14" t="n">
        <f aca="false" t="array" ref="AN76:AN76">SUM(IF(AF76:AJ76,1,0))</f>
        <v>0</v>
      </c>
      <c r="AO76" s="1" t="n">
        <f aca="false">FALSE()</f>
        <v>0</v>
      </c>
      <c r="AP76" s="1" t="n">
        <f aca="false">IF(O76 = 2,COUNTIF(Q76:AJ76,"TRUE"),-1)</f>
        <v>-1</v>
      </c>
    </row>
    <row r="77" customFormat="false" ht="15.75" hidden="false" customHeight="false" outlineLevel="0" collapsed="false">
      <c r="A77" s="15" t="e">
        <f aca="true">INDIRECT("'Ответы на форму (1)'!A"&amp;$N77,TRUE())</f>
        <v>#REF!</v>
      </c>
      <c r="B77" s="16" t="e">
        <f aca="true">INDIRECT("'Ответы на форму (1)'!B"&amp;$N77,TRUE())</f>
        <v>#REF!</v>
      </c>
      <c r="C77" s="16" t="e">
        <f aca="true">INDIRECT("'Ответы на форму (1)'!C"&amp;$N77,TRUE())</f>
        <v>#REF!</v>
      </c>
      <c r="D77" s="16" t="e">
        <f aca="true">INDIRECT("'Ответы на форму (1)'!D"&amp;$N77,TRUE())</f>
        <v>#REF!</v>
      </c>
      <c r="E77" s="16" t="n">
        <f aca="false">IFERROR(__xludf.dummyfunction("iferror(VALUE(REGEXEXTRACT(TEXT(INDIRECT(""'Ответы на форму (1)'!E""&amp;$N77,TRUE),""####""),""[0-9]+"")),IF(IFERROR(SEARCH(""моцро"",INDIRECT(""'Ответы на форму (1)'!E""&amp;$N77,TRUE)),-1) &gt;= 0,117,INDIRECT(""'Ответы на форму (1)'!E""&amp;$N77,TRUE)))"),140)</f>
        <v>140</v>
      </c>
      <c r="F77" s="16" t="e">
        <f aca="true">INDIRECT("'Ответы на форму (1)'!F"&amp;$N77,TRUE())</f>
        <v>#REF!</v>
      </c>
      <c r="G77" s="17" t="e">
        <f aca="true">IFERROR(MID(INDIRECT("'Ответы на форму (1)'!G"&amp;$N77,TRUE()),SEARCH("vk.com",INDIRECT("'Ответы на форму (1)'!G"&amp;$N77,TRUE())),LEN(INDIRECT("'Ответы на форму (1)'!G"&amp;$N77,TRUE()))),INDIRECT("'Ответы на форму (1)'!G"&amp;$N77,TRUE()))</f>
        <v>#REF!</v>
      </c>
      <c r="H77" s="16" t="e">
        <f aca="true">INDIRECT("'Ответы на форму (1)'!H"&amp;$N77,TRUE())</f>
        <v>#REF!</v>
      </c>
      <c r="I77" s="16" t="e">
        <f aca="true">INDIRECT("'Ответы на форму (1)'!I"&amp;$N77,TRUE())</f>
        <v>#REF!</v>
      </c>
      <c r="J77" s="16" t="e">
        <f aca="true">INDIRECT("'Ответы на форму (1)'!J"&amp;$N77,TRUE())</f>
        <v>#REF!</v>
      </c>
      <c r="K77" s="16" t="e">
        <f aca="true">INDIRECT("'Ответы на форму (1)'!K"&amp;$N77,TRUE())</f>
        <v>#REF!</v>
      </c>
      <c r="L77" s="16" t="e">
        <f aca="true">INDIRECT("'Ответы на форму (1)'!L"&amp;$N77,TRUE())</f>
        <v>#REF!</v>
      </c>
      <c r="M77" s="16" t="e">
        <f aca="false" t="array" ref="M77:M77">IF(B77 &lt;&gt; "",IF(COUNTIF(concat(TRIM('Список прошлого года'!$B$2:$B$200),TRIM('Список прошлого года'!$C$2:$C$200)),concat(TRIM(B77),TRIM(C77))) &gt; 0,"Да","Нет"),"")</f>
        <v>#REF!</v>
      </c>
      <c r="N77" s="19" t="n">
        <v>81</v>
      </c>
      <c r="O77" s="19" t="n">
        <v>2</v>
      </c>
      <c r="P77" s="16"/>
      <c r="Q77" s="19" t="n">
        <f aca="false">TRUE()</f>
        <v>1</v>
      </c>
      <c r="R77" s="19" t="n">
        <f aca="false">TRUE()</f>
        <v>1</v>
      </c>
      <c r="S77" s="19" t="n">
        <f aca="false">TRUE()</f>
        <v>1</v>
      </c>
      <c r="T77" s="19" t="n">
        <f aca="false">TRUE()</f>
        <v>1</v>
      </c>
      <c r="U77" s="19" t="n">
        <f aca="false">TRUE()</f>
        <v>1</v>
      </c>
      <c r="V77" s="19" t="n">
        <f aca="false">TRUE()</f>
        <v>1</v>
      </c>
      <c r="W77" s="19" t="n">
        <f aca="false">TRUE()</f>
        <v>1</v>
      </c>
      <c r="X77" s="19" t="n">
        <f aca="false">TRUE()</f>
        <v>1</v>
      </c>
      <c r="Y77" s="19" t="n">
        <f aca="false">TRUE()</f>
        <v>1</v>
      </c>
      <c r="Z77" s="19" t="n">
        <f aca="false">TRUE()</f>
        <v>1</v>
      </c>
      <c r="AA77" s="19" t="n">
        <f aca="false">TRUE()</f>
        <v>1</v>
      </c>
      <c r="AB77" s="19" t="n">
        <f aca="false">TRUE()</f>
        <v>1</v>
      </c>
      <c r="AC77" s="19" t="n">
        <f aca="false">TRUE()</f>
        <v>1</v>
      </c>
      <c r="AD77" s="19" t="n">
        <f aca="false">FALSE()</f>
        <v>0</v>
      </c>
      <c r="AE77" s="19" t="n">
        <f aca="false">TRUE()</f>
        <v>1</v>
      </c>
      <c r="AF77" s="19" t="n">
        <f aca="false">TRUE()</f>
        <v>1</v>
      </c>
      <c r="AG77" s="19" t="n">
        <f aca="false">TRUE()</f>
        <v>1</v>
      </c>
      <c r="AH77" s="19" t="n">
        <f aca="false">TRUE()</f>
        <v>1</v>
      </c>
      <c r="AI77" s="19" t="n">
        <f aca="false">TRUE()</f>
        <v>1</v>
      </c>
      <c r="AJ77" s="19" t="n">
        <f aca="false">TRUE()</f>
        <v>1</v>
      </c>
      <c r="AK77" s="19" t="n">
        <f aca="false" t="array" ref="AK77:AK77">SUM(IF(Q77:U77,1,0))</f>
        <v>5</v>
      </c>
      <c r="AL77" s="20" t="n">
        <f aca="false" t="array" ref="AL77:AL77">SUM(IF(V77:Z77,1,0))</f>
        <v>5</v>
      </c>
      <c r="AM77" s="20" t="n">
        <f aca="false" t="array" ref="AM77:AM77">SUM(IF(AA77:AE77,1,0))</f>
        <v>4</v>
      </c>
      <c r="AN77" s="20" t="n">
        <f aca="false" t="array" ref="AN77:AN77">SUM(IF(AF77:AJ77,1,0))</f>
        <v>5</v>
      </c>
      <c r="AO77" s="19" t="n">
        <f aca="false">TRUE()</f>
        <v>1</v>
      </c>
      <c r="AP77" s="1" t="n">
        <f aca="false">IF(O77 = 2,COUNTIF(Q77:AJ77,"TRUE"),-1)</f>
        <v>19</v>
      </c>
    </row>
    <row r="78" customFormat="false" ht="15.75" hidden="false" customHeight="false" outlineLevel="0" collapsed="false">
      <c r="A78" s="8" t="e">
        <f aca="true">INDIRECT("'Ответы на форму (1)'!A"&amp;$N78,TRUE())</f>
        <v>#REF!</v>
      </c>
      <c r="B78" s="0" t="e">
        <f aca="true">INDIRECT("'Ответы на форму (1)'!B"&amp;$N78,TRUE())</f>
        <v>#REF!</v>
      </c>
      <c r="C78" s="0" t="e">
        <f aca="true">INDIRECT("'Ответы на форму (1)'!C"&amp;$N78,TRUE())</f>
        <v>#REF!</v>
      </c>
      <c r="D78" s="0" t="e">
        <f aca="true">INDIRECT("'Ответы на форму (1)'!D"&amp;$N78,TRUE())</f>
        <v>#REF!</v>
      </c>
      <c r="E78" s="0" t="n">
        <f aca="false">IFERROR(__xludf.dummyfunction("iferror(VALUE(REGEXEXTRACT(TEXT(INDIRECT(""'Ответы на форму (1)'!E""&amp;$N78,TRUE),""####""),""[0-9]+"")),IF(IFERROR(SEARCH(""моцро"",INDIRECT(""'Ответы на форму (1)'!E""&amp;$N78,TRUE)),-1) &gt;= 0,117,INDIRECT(""'Ответы на форму (1)'!E""&amp;$N78,TRUE)))"),140)</f>
        <v>140</v>
      </c>
      <c r="F78" s="0" t="e">
        <f aca="true">INDIRECT("'Ответы на форму (1)'!F"&amp;$N78,TRUE())</f>
        <v>#REF!</v>
      </c>
      <c r="G78" s="9" t="e">
        <f aca="true">IFERROR(MID(INDIRECT("'Ответы на форму (1)'!G"&amp;$N78,TRUE()),SEARCH("vk.com",INDIRECT("'Ответы на форму (1)'!G"&amp;$N78,TRUE())),LEN(INDIRECT("'Ответы на форму (1)'!G"&amp;$N78,TRUE()))),INDIRECT("'Ответы на форму (1)'!G"&amp;$N78,TRUE()))</f>
        <v>#REF!</v>
      </c>
      <c r="H78" s="0" t="e">
        <f aca="true">INDIRECT("'Ответы на форму (1)'!H"&amp;$N78,TRUE())</f>
        <v>#REF!</v>
      </c>
      <c r="I78" s="12" t="e">
        <f aca="true">INDIRECT("'Ответы на форму (1)'!I"&amp;$N78,TRUE())</f>
        <v>#REF!</v>
      </c>
      <c r="J78" s="12" t="e">
        <f aca="true">INDIRECT("'Ответы на форму (1)'!J"&amp;$N78,TRUE())</f>
        <v>#REF!</v>
      </c>
      <c r="K78" s="12" t="e">
        <f aca="true">INDIRECT("'Ответы на форму (1)'!K"&amp;$N78,TRUE())</f>
        <v>#REF!</v>
      </c>
      <c r="L78" s="12" t="e">
        <f aca="true">INDIRECT("'Ответы на форму (1)'!L"&amp;$N78,TRUE())</f>
        <v>#REF!</v>
      </c>
      <c r="M78" s="0" t="e">
        <f aca="false" t="array" ref="M78:M78">IF(B78 &lt;&gt; "",IF(COUNTIF(concat(TRIM('Список прошлого года'!$B$2:$B$200),TRIM('Список прошлого года'!$C$2:$C$200)),concat(TRIM(B78),TRIM(C78))) &gt; 0,"Да","Нет"),"")</f>
        <v>#REF!</v>
      </c>
      <c r="N78" s="1" t="n">
        <v>85</v>
      </c>
      <c r="O78" s="1" t="n">
        <v>-1</v>
      </c>
      <c r="Q78" s="1" t="n">
        <f aca="false">FALSE()</f>
        <v>0</v>
      </c>
      <c r="R78" s="1" t="n">
        <f aca="false">FALSE()</f>
        <v>0</v>
      </c>
      <c r="S78" s="1" t="n">
        <f aca="false">FALSE()</f>
        <v>0</v>
      </c>
      <c r="T78" s="1" t="n">
        <f aca="false">FALSE()</f>
        <v>0</v>
      </c>
      <c r="U78" s="1" t="n">
        <f aca="false">FALSE()</f>
        <v>0</v>
      </c>
      <c r="V78" s="1" t="n">
        <f aca="false">FALSE()</f>
        <v>0</v>
      </c>
      <c r="W78" s="1" t="n">
        <f aca="false">FALSE()</f>
        <v>0</v>
      </c>
      <c r="X78" s="1" t="n">
        <f aca="false">FALSE()</f>
        <v>0</v>
      </c>
      <c r="Y78" s="1" t="n">
        <f aca="false">FALSE()</f>
        <v>0</v>
      </c>
      <c r="Z78" s="1" t="n">
        <f aca="false">FALSE()</f>
        <v>0</v>
      </c>
      <c r="AA78" s="1" t="n">
        <f aca="false">FALSE()</f>
        <v>0</v>
      </c>
      <c r="AB78" s="1" t="n">
        <f aca="false">FALSE()</f>
        <v>0</v>
      </c>
      <c r="AC78" s="1" t="n">
        <f aca="false">FALSE()</f>
        <v>0</v>
      </c>
      <c r="AD78" s="1" t="n">
        <f aca="false">FALSE()</f>
        <v>0</v>
      </c>
      <c r="AE78" s="1" t="n">
        <f aca="false">FALSE()</f>
        <v>0</v>
      </c>
      <c r="AF78" s="1" t="n">
        <f aca="false">FALSE()</f>
        <v>0</v>
      </c>
      <c r="AG78" s="1" t="n">
        <f aca="false">FALSE()</f>
        <v>0</v>
      </c>
      <c r="AH78" s="1" t="n">
        <f aca="false">FALSE()</f>
        <v>0</v>
      </c>
      <c r="AI78" s="1" t="n">
        <f aca="false">FALSE()</f>
        <v>0</v>
      </c>
      <c r="AJ78" s="1" t="n">
        <f aca="false">FALSE()</f>
        <v>0</v>
      </c>
      <c r="AK78" s="1" t="n">
        <f aca="false" t="array" ref="AK78:AK78">SUM(IF(Q78:U78,1,0))</f>
        <v>0</v>
      </c>
      <c r="AL78" s="14" t="n">
        <f aca="false" t="array" ref="AL78:AL78">SUM(IF(V78:Z78,1,0))</f>
        <v>0</v>
      </c>
      <c r="AM78" s="14" t="n">
        <f aca="false" t="array" ref="AM78:AM78">SUM(IF(AA78:AE78,1,0))</f>
        <v>0</v>
      </c>
      <c r="AN78" s="14" t="n">
        <f aca="false" t="array" ref="AN78:AN78">SUM(IF(AF78:AJ78,1,0))</f>
        <v>0</v>
      </c>
      <c r="AO78" s="1" t="n">
        <f aca="false">FALSE()</f>
        <v>0</v>
      </c>
      <c r="AP78" s="1" t="n">
        <f aca="false">IF(O78 = 2,COUNTIF(Q78:AJ78,"TRUE"),-1)</f>
        <v>-1</v>
      </c>
    </row>
    <row r="79" customFormat="false" ht="15.75" hidden="false" customHeight="false" outlineLevel="0" collapsed="false">
      <c r="A79" s="15" t="e">
        <f aca="true">INDIRECT("'Ответы на форму (1)'!A"&amp;$N79,TRUE())</f>
        <v>#REF!</v>
      </c>
      <c r="B79" s="16" t="e">
        <f aca="true">INDIRECT("'Ответы на форму (1)'!B"&amp;$N79,TRUE())</f>
        <v>#REF!</v>
      </c>
      <c r="C79" s="16" t="e">
        <f aca="true">INDIRECT("'Ответы на форму (1)'!C"&amp;$N79,TRUE())</f>
        <v>#REF!</v>
      </c>
      <c r="D79" s="16" t="e">
        <f aca="true">INDIRECT("'Ответы на форму (1)'!D"&amp;$N79,TRUE())</f>
        <v>#REF!</v>
      </c>
      <c r="E79" s="16" t="n">
        <f aca="false">IFERROR(__xludf.dummyfunction("iferror(VALUE(REGEXEXTRACT(TEXT(INDIRECT(""'Ответы на форму (1)'!E""&amp;$N79,TRUE),""####""),""[0-9]+"")),IF(IFERROR(SEARCH(""моцро"",INDIRECT(""'Ответы на форму (1)'!E""&amp;$N79,TRUE)),-1) &gt;= 0,117,INDIRECT(""'Ответы на форму (1)'!E""&amp;$N79,TRUE)))"),104)</f>
        <v>104</v>
      </c>
      <c r="F79" s="16" t="e">
        <f aca="true">INDIRECT("'Ответы на форму (1)'!F"&amp;$N79,TRUE())</f>
        <v>#REF!</v>
      </c>
      <c r="G79" s="17" t="e">
        <f aca="true">IFERROR(MID(INDIRECT("'Ответы на форму (1)'!G"&amp;$N79,TRUE()),SEARCH("vk.com",INDIRECT("'Ответы на форму (1)'!G"&amp;$N79,TRUE())),LEN(INDIRECT("'Ответы на форму (1)'!G"&amp;$N79,TRUE()))),INDIRECT("'Ответы на форму (1)'!G"&amp;$N79,TRUE()))</f>
        <v>#REF!</v>
      </c>
      <c r="H79" s="16" t="e">
        <f aca="true">INDIRECT("'Ответы на форму (1)'!H"&amp;$N79,TRUE())</f>
        <v>#REF!</v>
      </c>
      <c r="I79" s="16" t="e">
        <f aca="true">INDIRECT("'Ответы на форму (1)'!I"&amp;$N79,TRUE())</f>
        <v>#REF!</v>
      </c>
      <c r="J79" s="16" t="e">
        <f aca="true">INDIRECT("'Ответы на форму (1)'!J"&amp;$N79,TRUE())</f>
        <v>#REF!</v>
      </c>
      <c r="K79" s="16" t="e">
        <f aca="true">INDIRECT("'Ответы на форму (1)'!K"&amp;$N79,TRUE())</f>
        <v>#REF!</v>
      </c>
      <c r="L79" s="16" t="e">
        <f aca="true">INDIRECT("'Ответы на форму (1)'!L"&amp;$N79,TRUE())</f>
        <v>#REF!</v>
      </c>
      <c r="M79" s="16" t="e">
        <f aca="false" t="array" ref="M79:M79">IF(B79 &lt;&gt; "",IF(COUNTIF(concat(TRIM('Список прошлого года'!$B$2:$B$200),TRIM('Список прошлого года'!$C$2:$C$200)),concat(TRIM(B79),TRIM(C79))) &gt; 0,"Да","Нет"),"")</f>
        <v>#REF!</v>
      </c>
      <c r="N79" s="19" t="n">
        <v>86</v>
      </c>
      <c r="O79" s="19" t="n">
        <v>2</v>
      </c>
      <c r="P79" s="16"/>
      <c r="Q79" s="19" t="n">
        <f aca="false">TRUE()</f>
        <v>1</v>
      </c>
      <c r="R79" s="19" t="n">
        <f aca="false">TRUE()</f>
        <v>1</v>
      </c>
      <c r="S79" s="19" t="n">
        <f aca="false">TRUE()</f>
        <v>1</v>
      </c>
      <c r="T79" s="19" t="n">
        <f aca="false">TRUE()</f>
        <v>1</v>
      </c>
      <c r="U79" s="19" t="n">
        <f aca="false">TRUE()</f>
        <v>1</v>
      </c>
      <c r="V79" s="19" t="n">
        <f aca="false">TRUE()</f>
        <v>1</v>
      </c>
      <c r="W79" s="19" t="n">
        <f aca="false">TRUE()</f>
        <v>1</v>
      </c>
      <c r="X79" s="19" t="n">
        <f aca="false">TRUE()</f>
        <v>1</v>
      </c>
      <c r="Y79" s="19" t="n">
        <f aca="false">TRUE()</f>
        <v>1</v>
      </c>
      <c r="Z79" s="19" t="n">
        <f aca="false">TRUE()</f>
        <v>1</v>
      </c>
      <c r="AA79" s="19" t="n">
        <f aca="false">TRUE()</f>
        <v>1</v>
      </c>
      <c r="AB79" s="19" t="n">
        <f aca="false">TRUE()</f>
        <v>1</v>
      </c>
      <c r="AC79" s="19" t="n">
        <f aca="false">TRUE()</f>
        <v>1</v>
      </c>
      <c r="AD79" s="19" t="n">
        <f aca="false">TRUE()</f>
        <v>1</v>
      </c>
      <c r="AE79" s="19" t="n">
        <f aca="false">TRUE()</f>
        <v>1</v>
      </c>
      <c r="AF79" s="19" t="n">
        <f aca="false">TRUE()</f>
        <v>1</v>
      </c>
      <c r="AG79" s="19" t="n">
        <f aca="false">FALSE()</f>
        <v>0</v>
      </c>
      <c r="AH79" s="19" t="n">
        <f aca="false">TRUE()</f>
        <v>1</v>
      </c>
      <c r="AI79" s="19" t="n">
        <f aca="false">TRUE()</f>
        <v>1</v>
      </c>
      <c r="AJ79" s="19" t="n">
        <f aca="false">TRUE()</f>
        <v>1</v>
      </c>
      <c r="AK79" s="19" t="n">
        <f aca="false" t="array" ref="AK79:AK79">SUM(IF(Q79:U79,1,0))</f>
        <v>5</v>
      </c>
      <c r="AL79" s="20" t="n">
        <f aca="false" t="array" ref="AL79:AL79">SUM(IF(V79:Z79,1,0))</f>
        <v>5</v>
      </c>
      <c r="AM79" s="20" t="n">
        <f aca="false" t="array" ref="AM79:AM79">SUM(IF(AA79:AE79,1,0))</f>
        <v>5</v>
      </c>
      <c r="AN79" s="20" t="n">
        <f aca="false" t="array" ref="AN79:AN79">SUM(IF(AF79:AJ79,1,0))</f>
        <v>4</v>
      </c>
      <c r="AO79" s="19" t="n">
        <f aca="false">TRUE()</f>
        <v>1</v>
      </c>
      <c r="AP79" s="1" t="n">
        <f aca="false">IF(O79 = 2,COUNTIF(Q79:AJ79,"TRUE"),-1)</f>
        <v>19</v>
      </c>
    </row>
    <row r="80" customFormat="false" ht="15.75" hidden="false" customHeight="false" outlineLevel="0" collapsed="false">
      <c r="A80" s="8" t="e">
        <f aca="true">INDIRECT("'Ответы на форму (1)'!A"&amp;$N80,TRUE())</f>
        <v>#REF!</v>
      </c>
      <c r="B80" s="0" t="e">
        <f aca="true">INDIRECT("'Ответы на форму (1)'!B"&amp;$N80,TRUE())</f>
        <v>#REF!</v>
      </c>
      <c r="C80" s="0" t="e">
        <f aca="true">INDIRECT("'Ответы на форму (1)'!C"&amp;$N80,TRUE())</f>
        <v>#REF!</v>
      </c>
      <c r="D80" s="0" t="e">
        <f aca="true">INDIRECT("'Ответы на форму (1)'!D"&amp;$N80,TRUE())</f>
        <v>#REF!</v>
      </c>
      <c r="E80" s="0" t="n">
        <f aca="false">IFERROR(__xludf.dummyfunction("iferror(VALUE(REGEXEXTRACT(TEXT(INDIRECT(""'Ответы на форму (1)'!E""&amp;$N80,TRUE),""####""),""[0-9]+"")),IF(IFERROR(SEARCH(""моцро"",INDIRECT(""'Ответы на форму (1)'!E""&amp;$N80,TRUE)),-1) &gt;= 0,117,INDIRECT(""'Ответы на форму (1)'!E""&amp;$N80,TRUE)))"),117)</f>
        <v>117</v>
      </c>
      <c r="F80" s="0" t="e">
        <f aca="true">INDIRECT("'Ответы на форму (1)'!F"&amp;$N80,TRUE())</f>
        <v>#REF!</v>
      </c>
      <c r="G80" s="9" t="e">
        <f aca="true">IFERROR(MID(INDIRECT("'Ответы на форму (1)'!G"&amp;$N80,TRUE()),SEARCH("vk.com",INDIRECT("'Ответы на форму (1)'!G"&amp;$N80,TRUE())),LEN(INDIRECT("'Ответы на форму (1)'!G"&amp;$N80,TRUE()))),INDIRECT("'Ответы на форму (1)'!G"&amp;$N80,TRUE()))</f>
        <v>#REF!</v>
      </c>
      <c r="H80" s="0" t="e">
        <f aca="true">INDIRECT("'Ответы на форму (1)'!H"&amp;$N80,TRUE())</f>
        <v>#REF!</v>
      </c>
      <c r="I80" s="12" t="e">
        <f aca="true">INDIRECT("'Ответы на форму (1)'!I"&amp;$N80,TRUE())</f>
        <v>#REF!</v>
      </c>
      <c r="J80" s="12" t="e">
        <f aca="true">INDIRECT("'Ответы на форму (1)'!J"&amp;$N80,TRUE())</f>
        <v>#REF!</v>
      </c>
      <c r="K80" s="12" t="e">
        <f aca="true">INDIRECT("'Ответы на форму (1)'!K"&amp;$N80,TRUE())</f>
        <v>#REF!</v>
      </c>
      <c r="L80" s="12" t="e">
        <f aca="true">INDIRECT("'Ответы на форму (1)'!L"&amp;$N80,TRUE())</f>
        <v>#REF!</v>
      </c>
      <c r="M80" s="0" t="e">
        <f aca="false" t="array" ref="M80:M80">IF(B80 &lt;&gt; "",IF(COUNTIF(concat(TRIM('Список прошлого года'!$B$2:$B$200),TRIM('Список прошлого года'!$C$2:$C$200)),concat(TRIM(B80),TRIM(C80))) &gt; 0,"Да","Нет"),"")</f>
        <v>#REF!</v>
      </c>
      <c r="N80" s="1" t="n">
        <v>88</v>
      </c>
      <c r="O80" s="1" t="n">
        <v>1</v>
      </c>
      <c r="Q80" s="1" t="n">
        <f aca="false">FALSE()</f>
        <v>0</v>
      </c>
      <c r="R80" s="1" t="n">
        <f aca="false">FALSE()</f>
        <v>0</v>
      </c>
      <c r="S80" s="1" t="n">
        <f aca="false">FALSE()</f>
        <v>0</v>
      </c>
      <c r="T80" s="1" t="n">
        <f aca="false">FALSE()</f>
        <v>0</v>
      </c>
      <c r="U80" s="1" t="n">
        <f aca="false">FALSE()</f>
        <v>0</v>
      </c>
      <c r="V80" s="1" t="n">
        <f aca="false">FALSE()</f>
        <v>0</v>
      </c>
      <c r="W80" s="1" t="n">
        <f aca="false">FALSE()</f>
        <v>0</v>
      </c>
      <c r="X80" s="1" t="n">
        <f aca="false">FALSE()</f>
        <v>0</v>
      </c>
      <c r="Y80" s="1" t="n">
        <f aca="false">FALSE()</f>
        <v>0</v>
      </c>
      <c r="Z80" s="1" t="n">
        <f aca="false">FALSE()</f>
        <v>0</v>
      </c>
      <c r="AA80" s="1" t="n">
        <f aca="false">TRUE()</f>
        <v>1</v>
      </c>
      <c r="AB80" s="1" t="n">
        <f aca="false">TRUE()</f>
        <v>1</v>
      </c>
      <c r="AC80" s="1" t="n">
        <f aca="false">TRUE()</f>
        <v>1</v>
      </c>
      <c r="AD80" s="1" t="n">
        <f aca="false">TRUE()</f>
        <v>1</v>
      </c>
      <c r="AE80" s="1" t="n">
        <f aca="false">TRUE()</f>
        <v>1</v>
      </c>
      <c r="AF80" s="1" t="n">
        <f aca="false">TRUE()</f>
        <v>1</v>
      </c>
      <c r="AG80" s="1" t="n">
        <f aca="false">TRUE()</f>
        <v>1</v>
      </c>
      <c r="AH80" s="1" t="n">
        <f aca="false">TRUE()</f>
        <v>1</v>
      </c>
      <c r="AI80" s="1" t="n">
        <f aca="false">TRUE()</f>
        <v>1</v>
      </c>
      <c r="AJ80" s="1" t="n">
        <f aca="false">TRUE()</f>
        <v>1</v>
      </c>
      <c r="AK80" s="1" t="n">
        <f aca="false" t="array" ref="AK80:AK80">SUM(IF(Q80:U80,1,0))</f>
        <v>0</v>
      </c>
      <c r="AL80" s="14" t="n">
        <f aca="false" t="array" ref="AL80:AL80">SUM(IF(V80:Z80,1,0))</f>
        <v>0</v>
      </c>
      <c r="AM80" s="14" t="n">
        <f aca="false" t="array" ref="AM80:AM80">SUM(IF(AA80:AE80,1,0))</f>
        <v>5</v>
      </c>
      <c r="AN80" s="14" t="n">
        <f aca="false" t="array" ref="AN80:AN80">SUM(IF(AF80:AJ80,1,0))</f>
        <v>5</v>
      </c>
      <c r="AO80" s="1" t="n">
        <f aca="false">FALSE()</f>
        <v>0</v>
      </c>
      <c r="AP80" s="1" t="n">
        <f aca="false">IF(O80 = 2,COUNTIF(Q80:AJ80,"TRUE"),-1)</f>
        <v>-1</v>
      </c>
    </row>
    <row r="81" customFormat="false" ht="15.75" hidden="false" customHeight="false" outlineLevel="0" collapsed="false">
      <c r="A81" s="8" t="e">
        <f aca="true">INDIRECT("'Ответы на форму (1)'!A"&amp;$N81,TRUE())</f>
        <v>#REF!</v>
      </c>
      <c r="B81" s="0" t="e">
        <f aca="true">INDIRECT("'Ответы на форму (1)'!B"&amp;$N81,TRUE())</f>
        <v>#REF!</v>
      </c>
      <c r="C81" s="0" t="e">
        <f aca="true">INDIRECT("'Ответы на форму (1)'!C"&amp;$N81,TRUE())</f>
        <v>#REF!</v>
      </c>
      <c r="D81" s="0" t="e">
        <f aca="true">INDIRECT("'Ответы на форму (1)'!D"&amp;$N81,TRUE())</f>
        <v>#REF!</v>
      </c>
      <c r="E81" s="0" t="n">
        <f aca="false">IFERROR(__xludf.dummyfunction("iferror(VALUE(REGEXEXTRACT(TEXT(INDIRECT(""'Ответы на форму (1)'!E""&amp;$N81,TRUE),""####""),""[0-9]+"")),IF(IFERROR(SEARCH(""моцро"",INDIRECT(""'Ответы на форму (1)'!E""&amp;$N81,TRUE)),-1) &gt;= 0,117,INDIRECT(""'Ответы на форму (1)'!E""&amp;$N81,TRUE)))"),117)</f>
        <v>117</v>
      </c>
      <c r="F81" s="0" t="e">
        <f aca="true">INDIRECT("'Ответы на форму (1)'!F"&amp;$N81,TRUE())</f>
        <v>#REF!</v>
      </c>
      <c r="G81" s="9" t="e">
        <f aca="true">IFERROR(MID(INDIRECT("'Ответы на форму (1)'!G"&amp;$N81,TRUE()),SEARCH("vk.com",INDIRECT("'Ответы на форму (1)'!G"&amp;$N81,TRUE())),LEN(INDIRECT("'Ответы на форму (1)'!G"&amp;$N81,TRUE()))),INDIRECT("'Ответы на форму (1)'!G"&amp;$N81,TRUE()))</f>
        <v>#REF!</v>
      </c>
      <c r="H81" s="0" t="e">
        <f aca="true">INDIRECT("'Ответы на форму (1)'!H"&amp;$N81,TRUE())</f>
        <v>#REF!</v>
      </c>
      <c r="I81" s="12" t="e">
        <f aca="true">INDIRECT("'Ответы на форму (1)'!I"&amp;$N81,TRUE())</f>
        <v>#REF!</v>
      </c>
      <c r="J81" s="12" t="e">
        <f aca="true">INDIRECT("'Ответы на форму (1)'!J"&amp;$N81,TRUE())</f>
        <v>#REF!</v>
      </c>
      <c r="K81" s="12" t="e">
        <f aca="true">INDIRECT("'Ответы на форму (1)'!K"&amp;$N81,TRUE())</f>
        <v>#REF!</v>
      </c>
      <c r="L81" s="12" t="e">
        <f aca="true">INDIRECT("'Ответы на форму (1)'!L"&amp;$N81,TRUE())</f>
        <v>#REF!</v>
      </c>
      <c r="M81" s="0" t="e">
        <f aca="false" t="array" ref="M81:M81">IF(B81 &lt;&gt; "",IF(COUNTIF(concat(TRIM('Список прошлого года'!$B$2:$B$200),TRIM('Список прошлого года'!$C$2:$C$200)),concat(TRIM(B81),TRIM(C81))) &gt; 0,"Да","Нет"),"")</f>
        <v>#REF!</v>
      </c>
      <c r="N81" s="1" t="n">
        <v>89</v>
      </c>
      <c r="O81" s="1" t="n">
        <v>2</v>
      </c>
      <c r="Q81" s="1" t="n">
        <f aca="false">TRUE()</f>
        <v>1</v>
      </c>
      <c r="R81" s="1" t="n">
        <f aca="false">TRUE()</f>
        <v>1</v>
      </c>
      <c r="S81" s="1" t="n">
        <f aca="false">TRUE()</f>
        <v>1</v>
      </c>
      <c r="T81" s="1" t="n">
        <f aca="false">FALSE()</f>
        <v>0</v>
      </c>
      <c r="U81" s="1" t="n">
        <f aca="false">FALSE()</f>
        <v>0</v>
      </c>
      <c r="V81" s="1" t="n">
        <f aca="false">TRUE()</f>
        <v>1</v>
      </c>
      <c r="W81" s="1" t="n">
        <f aca="false">TRUE()</f>
        <v>1</v>
      </c>
      <c r="X81" s="1" t="n">
        <f aca="false">TRUE()</f>
        <v>1</v>
      </c>
      <c r="Y81" s="1" t="n">
        <f aca="false">FALSE()</f>
        <v>0</v>
      </c>
      <c r="Z81" s="1" t="n">
        <f aca="false">FALSE()</f>
        <v>0</v>
      </c>
      <c r="AA81" s="1" t="n">
        <f aca="false">TRUE()</f>
        <v>1</v>
      </c>
      <c r="AB81" s="1" t="n">
        <f aca="false">TRUE()</f>
        <v>1</v>
      </c>
      <c r="AC81" s="1" t="n">
        <f aca="false">FALSE()</f>
        <v>0</v>
      </c>
      <c r="AD81" s="1" t="n">
        <f aca="false">FALSE()</f>
        <v>0</v>
      </c>
      <c r="AE81" s="1" t="n">
        <f aca="false">TRUE()</f>
        <v>1</v>
      </c>
      <c r="AF81" s="1" t="n">
        <f aca="false">TRUE()</f>
        <v>1</v>
      </c>
      <c r="AG81" s="1" t="n">
        <f aca="false">TRUE()</f>
        <v>1</v>
      </c>
      <c r="AH81" s="1" t="n">
        <f aca="false">FALSE()</f>
        <v>0</v>
      </c>
      <c r="AI81" s="1" t="n">
        <f aca="false">FALSE()</f>
        <v>0</v>
      </c>
      <c r="AJ81" s="1" t="n">
        <f aca="false">TRUE()</f>
        <v>1</v>
      </c>
      <c r="AK81" s="1" t="n">
        <f aca="false" t="array" ref="AK81:AK81">SUM(IF(Q81:U81,1,0))</f>
        <v>3</v>
      </c>
      <c r="AL81" s="14" t="n">
        <f aca="false" t="array" ref="AL81:AL81">SUM(IF(V81:Z81,1,0))</f>
        <v>3</v>
      </c>
      <c r="AM81" s="14" t="n">
        <f aca="false" t="array" ref="AM81:AM81">SUM(IF(AA81:AE81,1,0))</f>
        <v>3</v>
      </c>
      <c r="AN81" s="14" t="n">
        <f aca="false" t="array" ref="AN81:AN81">SUM(IF(AF81:AJ81,1,0))</f>
        <v>3</v>
      </c>
      <c r="AO81" s="1" t="n">
        <f aca="false">FALSE()</f>
        <v>0</v>
      </c>
      <c r="AP81" s="1" t="n">
        <f aca="false">IF(O81 = 2,COUNTIF(Q81:AJ81,"TRUE"),-1)</f>
        <v>12</v>
      </c>
    </row>
    <row r="82" customFormat="false" ht="15.75" hidden="false" customHeight="false" outlineLevel="0" collapsed="false">
      <c r="A82" s="8" t="e">
        <f aca="true">INDIRECT("'Ответы на форму (1)'!A"&amp;$N82,TRUE())</f>
        <v>#REF!</v>
      </c>
      <c r="B82" s="0" t="e">
        <f aca="true">INDIRECT("'Ответы на форму (1)'!B"&amp;$N82,TRUE())</f>
        <v>#REF!</v>
      </c>
      <c r="C82" s="0" t="e">
        <f aca="true">INDIRECT("'Ответы на форму (1)'!C"&amp;$N82,TRUE())</f>
        <v>#REF!</v>
      </c>
      <c r="D82" s="0" t="e">
        <f aca="true">INDIRECT("'Ответы на форму (1)'!D"&amp;$N82,TRUE())</f>
        <v>#REF!</v>
      </c>
      <c r="E82" s="0" t="n">
        <f aca="false">IFERROR(__xludf.dummyfunction("iferror(VALUE(REGEXEXTRACT(TEXT(INDIRECT(""'Ответы на форму (1)'!E""&amp;$N82,TRUE),""####""),""[0-9]+"")),IF(IFERROR(SEARCH(""моцро"",INDIRECT(""'Ответы на форму (1)'!E""&amp;$N82,TRUE)),-1) &gt;= 0,117,INDIRECT(""'Ответы на форму (1)'!E""&amp;$N82,TRUE)))"),149)</f>
        <v>149</v>
      </c>
      <c r="F82" s="0" t="e">
        <f aca="true">INDIRECT("'Ответы на форму (1)'!F"&amp;$N82,TRUE())</f>
        <v>#REF!</v>
      </c>
      <c r="G82" s="9" t="e">
        <f aca="true">IFERROR(MID(INDIRECT("'Ответы на форму (1)'!G"&amp;$N82,TRUE()),SEARCH("vk.com",INDIRECT("'Ответы на форму (1)'!G"&amp;$N82,TRUE())),LEN(INDIRECT("'Ответы на форму (1)'!G"&amp;$N82,TRUE()))),INDIRECT("'Ответы на форму (1)'!G"&amp;$N82,TRUE()))</f>
        <v>#REF!</v>
      </c>
      <c r="H82" s="0" t="e">
        <f aca="true">INDIRECT("'Ответы на форму (1)'!H"&amp;$N82,TRUE())</f>
        <v>#REF!</v>
      </c>
      <c r="I82" s="12" t="e">
        <f aca="true">INDIRECT("'Ответы на форму (1)'!I"&amp;$N82,TRUE())</f>
        <v>#REF!</v>
      </c>
      <c r="J82" s="12" t="e">
        <f aca="true">INDIRECT("'Ответы на форму (1)'!J"&amp;$N82,TRUE())</f>
        <v>#REF!</v>
      </c>
      <c r="K82" s="12" t="e">
        <f aca="true">INDIRECT("'Ответы на форму (1)'!K"&amp;$N82,TRUE())</f>
        <v>#REF!</v>
      </c>
      <c r="L82" s="12" t="e">
        <f aca="true">INDIRECT("'Ответы на форму (1)'!L"&amp;$N82,TRUE())</f>
        <v>#REF!</v>
      </c>
      <c r="M82" s="0" t="e">
        <f aca="false" t="array" ref="M82:M82">IF(B82 &lt;&gt; "",IF(COUNTIF(concat(TRIM('Список прошлого года'!$B$2:$B$200),TRIM('Список прошлого года'!$C$2:$C$200)),concat(TRIM(B82),TRIM(C82))) &gt; 0,"Да","Нет"),"")</f>
        <v>#REF!</v>
      </c>
      <c r="N82" s="1" t="n">
        <v>90</v>
      </c>
      <c r="O82" s="1" t="n">
        <v>-1</v>
      </c>
      <c r="Q82" s="1" t="n">
        <f aca="false">FALSE()</f>
        <v>0</v>
      </c>
      <c r="R82" s="1" t="n">
        <f aca="false">FALSE()</f>
        <v>0</v>
      </c>
      <c r="S82" s="1" t="n">
        <f aca="false">FALSE()</f>
        <v>0</v>
      </c>
      <c r="T82" s="1" t="n">
        <f aca="false">FALSE()</f>
        <v>0</v>
      </c>
      <c r="U82" s="1" t="n">
        <f aca="false">FALSE()</f>
        <v>0</v>
      </c>
      <c r="V82" s="1" t="n">
        <f aca="false">FALSE()</f>
        <v>0</v>
      </c>
      <c r="W82" s="1" t="n">
        <f aca="false">FALSE()</f>
        <v>0</v>
      </c>
      <c r="X82" s="1" t="n">
        <f aca="false">FALSE()</f>
        <v>0</v>
      </c>
      <c r="Y82" s="1" t="n">
        <f aca="false">FALSE()</f>
        <v>0</v>
      </c>
      <c r="Z82" s="1" t="n">
        <f aca="false">FALSE()</f>
        <v>0</v>
      </c>
      <c r="AA82" s="1" t="n">
        <f aca="false">FALSE()</f>
        <v>0</v>
      </c>
      <c r="AB82" s="1" t="n">
        <f aca="false">FALSE()</f>
        <v>0</v>
      </c>
      <c r="AC82" s="1" t="n">
        <f aca="false">FALSE()</f>
        <v>0</v>
      </c>
      <c r="AD82" s="1" t="n">
        <f aca="false">FALSE()</f>
        <v>0</v>
      </c>
      <c r="AE82" s="1" t="n">
        <f aca="false">FALSE()</f>
        <v>0</v>
      </c>
      <c r="AF82" s="1" t="n">
        <f aca="false">FALSE()</f>
        <v>0</v>
      </c>
      <c r="AG82" s="1" t="n">
        <f aca="false">FALSE()</f>
        <v>0</v>
      </c>
      <c r="AH82" s="1" t="n">
        <f aca="false">FALSE()</f>
        <v>0</v>
      </c>
      <c r="AI82" s="1" t="n">
        <f aca="false">FALSE()</f>
        <v>0</v>
      </c>
      <c r="AJ82" s="1" t="n">
        <f aca="false">FALSE()</f>
        <v>0</v>
      </c>
      <c r="AK82" s="1" t="n">
        <f aca="false" t="array" ref="AK82:AK82">SUM(IF(Q82:U82,1,0))</f>
        <v>0</v>
      </c>
      <c r="AL82" s="14" t="n">
        <f aca="false" t="array" ref="AL82:AL82">SUM(IF(V82:Z82,1,0))</f>
        <v>0</v>
      </c>
      <c r="AM82" s="14" t="n">
        <f aca="false" t="array" ref="AM82:AM82">SUM(IF(AA82:AE82,1,0))</f>
        <v>0</v>
      </c>
      <c r="AN82" s="14" t="n">
        <f aca="false" t="array" ref="AN82:AN82">SUM(IF(AF82:AJ82,1,0))</f>
        <v>0</v>
      </c>
      <c r="AO82" s="1" t="n">
        <f aca="false">FALSE()</f>
        <v>0</v>
      </c>
      <c r="AP82" s="1" t="n">
        <f aca="false">IF(O82 = 2,COUNTIF(Q82:AJ82,"TRUE"),-1)</f>
        <v>-1</v>
      </c>
    </row>
    <row r="83" customFormat="false" ht="15.75" hidden="false" customHeight="false" outlineLevel="0" collapsed="false">
      <c r="A83" s="8" t="e">
        <f aca="true">INDIRECT("'Ответы на форму (1)'!A"&amp;$N83,TRUE())</f>
        <v>#REF!</v>
      </c>
      <c r="B83" s="0" t="e">
        <f aca="true">INDIRECT("'Ответы на форму (1)'!B"&amp;$N83,TRUE())</f>
        <v>#REF!</v>
      </c>
      <c r="C83" s="0" t="e">
        <f aca="true">INDIRECT("'Ответы на форму (1)'!C"&amp;$N83,TRUE())</f>
        <v>#REF!</v>
      </c>
      <c r="D83" s="0" t="e">
        <f aca="true">INDIRECT("'Ответы на форму (1)'!D"&amp;$N83,TRUE())</f>
        <v>#REF!</v>
      </c>
      <c r="E83" s="0" t="n">
        <f aca="false">IFERROR(__xludf.dummyfunction("iferror(VALUE(REGEXEXTRACT(TEXT(INDIRECT(""'Ответы на форму (1)'!E""&amp;$N83,TRUE),""####""),""[0-9]+"")),IF(IFERROR(SEARCH(""моцро"",INDIRECT(""'Ответы на форму (1)'!E""&amp;$N83,TRUE)),-1) &gt;= 0,117,INDIRECT(""'Ответы на форму (1)'!E""&amp;$N83,TRUE)))"),117)</f>
        <v>117</v>
      </c>
      <c r="F83" s="0" t="e">
        <f aca="true">INDIRECT("'Ответы на форму (1)'!F"&amp;$N83,TRUE())</f>
        <v>#REF!</v>
      </c>
      <c r="G83" s="9" t="e">
        <f aca="true">IFERROR(MID(INDIRECT("'Ответы на форму (1)'!G"&amp;$N83,TRUE()),SEARCH("vk.com",INDIRECT("'Ответы на форму (1)'!G"&amp;$N83,TRUE())),LEN(INDIRECT("'Ответы на форму (1)'!G"&amp;$N83,TRUE()))),INDIRECT("'Ответы на форму (1)'!G"&amp;$N83,TRUE()))</f>
        <v>#REF!</v>
      </c>
      <c r="H83" s="0" t="e">
        <f aca="true">INDIRECT("'Ответы на форму (1)'!H"&amp;$N83,TRUE())</f>
        <v>#REF!</v>
      </c>
      <c r="I83" s="12" t="e">
        <f aca="true">INDIRECT("'Ответы на форму (1)'!I"&amp;$N83,TRUE())</f>
        <v>#REF!</v>
      </c>
      <c r="J83" s="12" t="e">
        <f aca="true">INDIRECT("'Ответы на форму (1)'!J"&amp;$N83,TRUE())</f>
        <v>#REF!</v>
      </c>
      <c r="K83" s="12" t="e">
        <f aca="true">INDIRECT("'Ответы на форму (1)'!K"&amp;$N83,TRUE())</f>
        <v>#REF!</v>
      </c>
      <c r="L83" s="12" t="e">
        <f aca="true">INDIRECT("'Ответы на форму (1)'!L"&amp;$N83,TRUE())</f>
        <v>#REF!</v>
      </c>
      <c r="M83" s="0" t="e">
        <f aca="false" t="array" ref="M83:M83">IF(B83 &lt;&gt; "",IF(COUNTIF(concat(TRIM('Список прошлого года'!$B$2:$B$200),TRIM('Список прошлого года'!$C$2:$C$200)),concat(TRIM(B83),TRIM(C83))) &gt; 0,"Да","Нет"),"")</f>
        <v>#REF!</v>
      </c>
      <c r="N83" s="1" t="n">
        <v>91</v>
      </c>
      <c r="O83" s="1" t="n">
        <v>2</v>
      </c>
      <c r="Q83" s="1" t="n">
        <f aca="false">TRUE()</f>
        <v>1</v>
      </c>
      <c r="R83" s="1" t="n">
        <f aca="false">TRUE()</f>
        <v>1</v>
      </c>
      <c r="S83" s="1" t="n">
        <f aca="false">TRUE()</f>
        <v>1</v>
      </c>
      <c r="T83" s="1" t="n">
        <f aca="false">TRUE()</f>
        <v>1</v>
      </c>
      <c r="U83" s="1" t="n">
        <f aca="false">TRUE()</f>
        <v>1</v>
      </c>
      <c r="V83" s="1" t="n">
        <f aca="false">TRUE()</f>
        <v>1</v>
      </c>
      <c r="W83" s="1" t="n">
        <f aca="false">TRUE()</f>
        <v>1</v>
      </c>
      <c r="X83" s="1" t="n">
        <f aca="false">TRUE()</f>
        <v>1</v>
      </c>
      <c r="Y83" s="1" t="n">
        <f aca="false">TRUE()</f>
        <v>1</v>
      </c>
      <c r="Z83" s="1" t="n">
        <f aca="false">TRUE()</f>
        <v>1</v>
      </c>
      <c r="AA83" s="1" t="n">
        <f aca="false">TRUE()</f>
        <v>1</v>
      </c>
      <c r="AB83" s="1" t="n">
        <f aca="false">TRUE()</f>
        <v>1</v>
      </c>
      <c r="AC83" s="1" t="n">
        <f aca="false">TRUE()</f>
        <v>1</v>
      </c>
      <c r="AD83" s="1" t="n">
        <f aca="false">TRUE()</f>
        <v>1</v>
      </c>
      <c r="AE83" s="1" t="n">
        <f aca="false">TRUE()</f>
        <v>1</v>
      </c>
      <c r="AF83" s="1" t="n">
        <f aca="false">TRUE()</f>
        <v>1</v>
      </c>
      <c r="AG83" s="1" t="n">
        <f aca="false">TRUE()</f>
        <v>1</v>
      </c>
      <c r="AH83" s="1" t="n">
        <f aca="false">FALSE()</f>
        <v>0</v>
      </c>
      <c r="AI83" s="1" t="n">
        <f aca="false">TRUE()</f>
        <v>1</v>
      </c>
      <c r="AJ83" s="1" t="n">
        <f aca="false">TRUE()</f>
        <v>1</v>
      </c>
      <c r="AK83" s="1" t="n">
        <f aca="false" t="array" ref="AK83:AK83">SUM(IF(Q83:U83,1,0))</f>
        <v>5</v>
      </c>
      <c r="AL83" s="14" t="n">
        <f aca="false" t="array" ref="AL83:AL83">SUM(IF(V83:Z83,1,0))</f>
        <v>5</v>
      </c>
      <c r="AM83" s="14" t="n">
        <f aca="false" t="array" ref="AM83:AM83">SUM(IF(AA83:AE83,1,0))</f>
        <v>5</v>
      </c>
      <c r="AN83" s="14" t="n">
        <f aca="false" t="array" ref="AN83:AN83">SUM(IF(AF83:AJ83,1,0))</f>
        <v>4</v>
      </c>
      <c r="AO83" s="1" t="n">
        <f aca="false">FALSE()</f>
        <v>0</v>
      </c>
      <c r="AP83" s="1" t="n">
        <f aca="false">IF(O83 = 2,COUNTIF(Q83:AJ83,"TRUE"),-1)</f>
        <v>19</v>
      </c>
    </row>
    <row r="84" customFormat="false" ht="15.75" hidden="false" customHeight="false" outlineLevel="0" collapsed="false">
      <c r="A84" s="8" t="e">
        <f aca="true">INDIRECT("'Ответы на форму (1)'!A"&amp;$N84,TRUE())</f>
        <v>#REF!</v>
      </c>
      <c r="B84" s="0" t="e">
        <f aca="true">INDIRECT("'Ответы на форму (1)'!B"&amp;$N84,TRUE())</f>
        <v>#REF!</v>
      </c>
      <c r="C84" s="0" t="e">
        <f aca="true">INDIRECT("'Ответы на форму (1)'!C"&amp;$N84,TRUE())</f>
        <v>#REF!</v>
      </c>
      <c r="D84" s="0" t="e">
        <f aca="true">INDIRECT("'Ответы на форму (1)'!D"&amp;$N84,TRUE())</f>
        <v>#REF!</v>
      </c>
      <c r="E84" s="0" t="n">
        <f aca="false">IFERROR(__xludf.dummyfunction("iferror(VALUE(REGEXEXTRACT(TEXT(INDIRECT(""'Ответы на форму (1)'!E""&amp;$N84,TRUE),""####""),""[0-9]+"")),IF(IFERROR(SEARCH(""моцро"",INDIRECT(""'Ответы на форму (1)'!E""&amp;$N84,TRUE)),-1) &gt;= 0,117,INDIRECT(""'Ответы на форму (1)'!E""&amp;$N84,TRUE)))"),150)</f>
        <v>150</v>
      </c>
      <c r="F84" s="0" t="e">
        <f aca="true">INDIRECT("'Ответы на форму (1)'!F"&amp;$N84,TRUE())</f>
        <v>#REF!</v>
      </c>
      <c r="G84" s="9" t="e">
        <f aca="true">IFERROR(MID(INDIRECT("'Ответы на форму (1)'!G"&amp;$N84,TRUE()),SEARCH("vk.com",INDIRECT("'Ответы на форму (1)'!G"&amp;$N84,TRUE())),LEN(INDIRECT("'Ответы на форму (1)'!G"&amp;$N84,TRUE()))),INDIRECT("'Ответы на форму (1)'!G"&amp;$N84,TRUE()))</f>
        <v>#REF!</v>
      </c>
      <c r="H84" s="0" t="e">
        <f aca="true">INDIRECT("'Ответы на форму (1)'!H"&amp;$N84,TRUE())</f>
        <v>#REF!</v>
      </c>
      <c r="I84" s="12" t="e">
        <f aca="true">INDIRECT("'Ответы на форму (1)'!I"&amp;$N84,TRUE())</f>
        <v>#REF!</v>
      </c>
      <c r="J84" s="12" t="e">
        <f aca="true">INDIRECT("'Ответы на форму (1)'!J"&amp;$N84,TRUE())</f>
        <v>#REF!</v>
      </c>
      <c r="K84" s="12" t="e">
        <f aca="true">INDIRECT("'Ответы на форму (1)'!K"&amp;$N84,TRUE())</f>
        <v>#REF!</v>
      </c>
      <c r="L84" s="12" t="e">
        <f aca="true">INDIRECT("'Ответы на форму (1)'!L"&amp;$N84,TRUE())</f>
        <v>#REF!</v>
      </c>
      <c r="M84" s="0" t="e">
        <f aca="false" t="array" ref="M84:M84">IF(B84 &lt;&gt; "",IF(COUNTIF(concat(TRIM('Список прошлого года'!$B$2:$B$200),TRIM('Список прошлого года'!$C$2:$C$200)),concat(TRIM(B84),TRIM(C84))) &gt; 0,"Да","Нет"),"")</f>
        <v>#REF!</v>
      </c>
      <c r="N84" s="1" t="n">
        <v>92</v>
      </c>
      <c r="O84" s="1" t="n">
        <v>2</v>
      </c>
      <c r="Q84" s="1" t="n">
        <f aca="false">TRUE()</f>
        <v>1</v>
      </c>
      <c r="R84" s="1" t="n">
        <f aca="false">FALSE()</f>
        <v>0</v>
      </c>
      <c r="S84" s="1" t="n">
        <f aca="false">TRUE()</f>
        <v>1</v>
      </c>
      <c r="T84" s="1" t="n">
        <f aca="false">TRUE()</f>
        <v>1</v>
      </c>
      <c r="U84" s="1" t="n">
        <f aca="false">TRUE()</f>
        <v>1</v>
      </c>
      <c r="V84" s="1" t="n">
        <f aca="false">TRUE()</f>
        <v>1</v>
      </c>
      <c r="W84" s="1" t="n">
        <f aca="false">FALSE()</f>
        <v>0</v>
      </c>
      <c r="X84" s="1" t="n">
        <f aca="false">TRUE()</f>
        <v>1</v>
      </c>
      <c r="Y84" s="1" t="n">
        <f aca="false">TRUE()</f>
        <v>1</v>
      </c>
      <c r="Z84" s="1" t="n">
        <f aca="false">TRUE()</f>
        <v>1</v>
      </c>
      <c r="AA84" s="1" t="n">
        <f aca="false">TRUE()</f>
        <v>1</v>
      </c>
      <c r="AB84" s="1" t="n">
        <f aca="false">TRUE()</f>
        <v>1</v>
      </c>
      <c r="AC84" s="1" t="n">
        <f aca="false">TRUE()</f>
        <v>1</v>
      </c>
      <c r="AD84" s="1" t="n">
        <f aca="false">TRUE()</f>
        <v>1</v>
      </c>
      <c r="AE84" s="1" t="n">
        <f aca="false">TRUE()</f>
        <v>1</v>
      </c>
      <c r="AF84" s="1" t="n">
        <f aca="false">TRUE()</f>
        <v>1</v>
      </c>
      <c r="AG84" s="1" t="n">
        <f aca="false">TRUE()</f>
        <v>1</v>
      </c>
      <c r="AH84" s="1" t="n">
        <f aca="false">FALSE()</f>
        <v>0</v>
      </c>
      <c r="AI84" s="1" t="n">
        <f aca="false">TRUE()</f>
        <v>1</v>
      </c>
      <c r="AJ84" s="1" t="n">
        <f aca="false">TRUE()</f>
        <v>1</v>
      </c>
      <c r="AK84" s="1" t="n">
        <f aca="false" t="array" ref="AK84:AK84">SUM(IF(Q84:U84,1,0))</f>
        <v>4</v>
      </c>
      <c r="AL84" s="14" t="n">
        <f aca="false" t="array" ref="AL84:AL84">SUM(IF(V84:Z84,1,0))</f>
        <v>4</v>
      </c>
      <c r="AM84" s="14" t="n">
        <f aca="false" t="array" ref="AM84:AM84">SUM(IF(AA84:AE84,1,0))</f>
        <v>5</v>
      </c>
      <c r="AN84" s="14" t="n">
        <f aca="false" t="array" ref="AN84:AN84">SUM(IF(AF84:AJ84,1,0))</f>
        <v>4</v>
      </c>
      <c r="AO84" s="1" t="n">
        <f aca="false">FALSE()</f>
        <v>0</v>
      </c>
      <c r="AP84" s="1" t="n">
        <f aca="false">IF(O84 = 2,COUNTIF(Q84:AJ84,"TRUE"),-1)</f>
        <v>17</v>
      </c>
    </row>
    <row r="85" customFormat="false" ht="15.75" hidden="false" customHeight="false" outlineLevel="0" collapsed="false">
      <c r="A85" s="15" t="e">
        <f aca="true">INDIRECT("'Ответы на форму (1)'!A"&amp;$N85,TRUE())</f>
        <v>#REF!</v>
      </c>
      <c r="B85" s="16" t="e">
        <f aca="true">INDIRECT("'Ответы на форму (1)'!B"&amp;$N85,TRUE())</f>
        <v>#REF!</v>
      </c>
      <c r="C85" s="16" t="e">
        <f aca="true">INDIRECT("'Ответы на форму (1)'!C"&amp;$N85,TRUE())</f>
        <v>#REF!</v>
      </c>
      <c r="D85" s="16" t="e">
        <f aca="true">INDIRECT("'Ответы на форму (1)'!D"&amp;$N85,TRUE())</f>
        <v>#REF!</v>
      </c>
      <c r="E85" s="16" t="n">
        <f aca="false">IFERROR(__xludf.dummyfunction("iferror(VALUE(REGEXEXTRACT(TEXT(INDIRECT(""'Ответы на форму (1)'!E""&amp;$N85,TRUE),""####""),""[0-9]+"")),IF(IFERROR(SEARCH(""моцро"",INDIRECT(""'Ответы на форму (1)'!E""&amp;$N85,TRUE)),-1) &gt;= 0,117,INDIRECT(""'Ответы на форму (1)'!E""&amp;$N85,TRUE)))"),142)</f>
        <v>142</v>
      </c>
      <c r="F85" s="16" t="e">
        <f aca="true">INDIRECT("'Ответы на форму (1)'!F"&amp;$N85,TRUE())</f>
        <v>#REF!</v>
      </c>
      <c r="G85" s="17" t="e">
        <f aca="true">IFERROR(MID(INDIRECT("'Ответы на форму (1)'!G"&amp;$N85,TRUE()),SEARCH("vk.com",INDIRECT("'Ответы на форму (1)'!G"&amp;$N85,TRUE())),LEN(INDIRECT("'Ответы на форму (1)'!G"&amp;$N85,TRUE()))),INDIRECT("'Ответы на форму (1)'!G"&amp;$N85,TRUE()))</f>
        <v>#REF!</v>
      </c>
      <c r="H85" s="16" t="e">
        <f aca="true">INDIRECT("'Ответы на форму (1)'!H"&amp;$N85,TRUE())</f>
        <v>#REF!</v>
      </c>
      <c r="I85" s="16" t="e">
        <f aca="true">INDIRECT("'Ответы на форму (1)'!I"&amp;$N85,TRUE())</f>
        <v>#REF!</v>
      </c>
      <c r="J85" s="16" t="e">
        <f aca="true">INDIRECT("'Ответы на форму (1)'!J"&amp;$N85,TRUE())</f>
        <v>#REF!</v>
      </c>
      <c r="K85" s="16" t="e">
        <f aca="true">INDIRECT("'Ответы на форму (1)'!K"&amp;$N85,TRUE())</f>
        <v>#REF!</v>
      </c>
      <c r="L85" s="16" t="e">
        <f aca="true">INDIRECT("'Ответы на форму (1)'!L"&amp;$N85,TRUE())</f>
        <v>#REF!</v>
      </c>
      <c r="M85" s="16" t="e">
        <f aca="false" t="array" ref="M85:M85">IF(B85 &lt;&gt; "",IF(COUNTIF(concat(TRIM('Список прошлого года'!$B$2:$B$200),TRIM('Список прошлого года'!$C$2:$C$200)),concat(TRIM(B85),TRIM(C85))) &gt; 0,"Да","Нет"),"")</f>
        <v>#REF!</v>
      </c>
      <c r="N85" s="19" t="n">
        <v>94</v>
      </c>
      <c r="O85" s="19" t="n">
        <v>2</v>
      </c>
      <c r="P85" s="16"/>
      <c r="Q85" s="19" t="n">
        <f aca="false">TRUE()</f>
        <v>1</v>
      </c>
      <c r="R85" s="19" t="n">
        <f aca="false">TRUE()</f>
        <v>1</v>
      </c>
      <c r="S85" s="19" t="n">
        <f aca="false">TRUE()</f>
        <v>1</v>
      </c>
      <c r="T85" s="19" t="n">
        <f aca="false">TRUE()</f>
        <v>1</v>
      </c>
      <c r="U85" s="19" t="n">
        <f aca="false">TRUE()</f>
        <v>1</v>
      </c>
      <c r="V85" s="19" t="n">
        <f aca="false">TRUE()</f>
        <v>1</v>
      </c>
      <c r="W85" s="19" t="n">
        <f aca="false">TRUE()</f>
        <v>1</v>
      </c>
      <c r="X85" s="19" t="n">
        <f aca="false">TRUE()</f>
        <v>1</v>
      </c>
      <c r="Y85" s="19" t="n">
        <f aca="false">TRUE()</f>
        <v>1</v>
      </c>
      <c r="Z85" s="19" t="n">
        <f aca="false">TRUE()</f>
        <v>1</v>
      </c>
      <c r="AA85" s="19" t="n">
        <f aca="false">TRUE()</f>
        <v>1</v>
      </c>
      <c r="AB85" s="19" t="n">
        <f aca="false">TRUE()</f>
        <v>1</v>
      </c>
      <c r="AC85" s="19" t="n">
        <f aca="false">TRUE()</f>
        <v>1</v>
      </c>
      <c r="AD85" s="19" t="n">
        <f aca="false">TRUE()</f>
        <v>1</v>
      </c>
      <c r="AE85" s="19" t="n">
        <f aca="false">TRUE()</f>
        <v>1</v>
      </c>
      <c r="AF85" s="19" t="n">
        <f aca="false">TRUE()</f>
        <v>1</v>
      </c>
      <c r="AG85" s="19" t="n">
        <f aca="false">TRUE()</f>
        <v>1</v>
      </c>
      <c r="AH85" s="19" t="n">
        <f aca="false">TRUE()</f>
        <v>1</v>
      </c>
      <c r="AI85" s="19" t="n">
        <f aca="false">TRUE()</f>
        <v>1</v>
      </c>
      <c r="AJ85" s="19" t="n">
        <f aca="false">TRUE()</f>
        <v>1</v>
      </c>
      <c r="AK85" s="19" t="n">
        <f aca="false" t="array" ref="AK85:AK85">SUM(IF(Q85:U85,1,0))</f>
        <v>5</v>
      </c>
      <c r="AL85" s="20" t="n">
        <f aca="false" t="array" ref="AL85:AL85">SUM(IF(V85:Z85,1,0))</f>
        <v>5</v>
      </c>
      <c r="AM85" s="20" t="n">
        <f aca="false" t="array" ref="AM85:AM85">SUM(IF(AA85:AE85,1,0))</f>
        <v>5</v>
      </c>
      <c r="AN85" s="20" t="n">
        <f aca="false" t="array" ref="AN85:AN85">SUM(IF(AF85:AJ85,1,0))</f>
        <v>5</v>
      </c>
      <c r="AO85" s="19" t="n">
        <f aca="false">TRUE()</f>
        <v>1</v>
      </c>
      <c r="AP85" s="1" t="n">
        <f aca="false">IF(O85 = 2,COUNTIF(Q85:AJ85,"TRUE"),-1)</f>
        <v>20</v>
      </c>
    </row>
    <row r="86" customFormat="false" ht="15.75" hidden="false" customHeight="false" outlineLevel="0" collapsed="false">
      <c r="A86" s="15" t="e">
        <f aca="true">INDIRECT("'Ответы на форму (1)'!A"&amp;$N86,TRUE())</f>
        <v>#REF!</v>
      </c>
      <c r="B86" s="16" t="e">
        <f aca="true">INDIRECT("'Ответы на форму (1)'!B"&amp;$N86,TRUE())</f>
        <v>#REF!</v>
      </c>
      <c r="C86" s="16" t="e">
        <f aca="true">INDIRECT("'Ответы на форму (1)'!C"&amp;$N86,TRUE())</f>
        <v>#REF!</v>
      </c>
      <c r="D86" s="16" t="e">
        <f aca="true">INDIRECT("'Ответы на форму (1)'!D"&amp;$N86,TRUE())</f>
        <v>#REF!</v>
      </c>
      <c r="E86" s="16" t="n">
        <f aca="false">IFERROR(__xludf.dummyfunction("iferror(VALUE(REGEXEXTRACT(TEXT(INDIRECT(""'Ответы на форму (1)'!E""&amp;$N86,TRUE),""####""),""[0-9]+"")),IF(IFERROR(SEARCH(""моцро"",INDIRECT(""'Ответы на форму (1)'!E""&amp;$N86,TRUE)),-1) &gt;= 0,117,INDIRECT(""'Ответы на форму (1)'!E""&amp;$N86,TRUE)))"),117)</f>
        <v>117</v>
      </c>
      <c r="F86" s="16" t="e">
        <f aca="true">INDIRECT("'Ответы на форму (1)'!F"&amp;$N86,TRUE())</f>
        <v>#REF!</v>
      </c>
      <c r="G86" s="17" t="e">
        <f aca="true">IFERROR(MID(INDIRECT("'Ответы на форму (1)'!G"&amp;$N86,TRUE()),SEARCH("vk.com",INDIRECT("'Ответы на форму (1)'!G"&amp;$N86,TRUE())),LEN(INDIRECT("'Ответы на форму (1)'!G"&amp;$N86,TRUE()))),INDIRECT("'Ответы на форму (1)'!G"&amp;$N86,TRUE()))</f>
        <v>#REF!</v>
      </c>
      <c r="H86" s="16" t="e">
        <f aca="true">INDIRECT("'Ответы на форму (1)'!H"&amp;$N86,TRUE())</f>
        <v>#REF!</v>
      </c>
      <c r="I86" s="16" t="e">
        <f aca="true">INDIRECT("'Ответы на форму (1)'!I"&amp;$N86,TRUE())</f>
        <v>#REF!</v>
      </c>
      <c r="J86" s="16" t="e">
        <f aca="true">INDIRECT("'Ответы на форму (1)'!J"&amp;$N86,TRUE())</f>
        <v>#REF!</v>
      </c>
      <c r="K86" s="16" t="e">
        <f aca="true">INDIRECT("'Ответы на форму (1)'!K"&amp;$N86,TRUE())</f>
        <v>#REF!</v>
      </c>
      <c r="L86" s="16" t="e">
        <f aca="true">INDIRECT("'Ответы на форму (1)'!L"&amp;$N86,TRUE())</f>
        <v>#REF!</v>
      </c>
      <c r="M86" s="16" t="e">
        <f aca="false" t="array" ref="M86:M86">IF(B86 &lt;&gt; "",IF(COUNTIF(concat(TRIM('Список прошлого года'!$B$2:$B$200),TRIM('Список прошлого года'!$C$2:$C$200)),concat(TRIM(B86),TRIM(C86))) &gt; 0,"Да","Нет"),"")</f>
        <v>#REF!</v>
      </c>
      <c r="N86" s="19" t="n">
        <v>95</v>
      </c>
      <c r="O86" s="19" t="n">
        <v>2</v>
      </c>
      <c r="P86" s="16"/>
      <c r="Q86" s="19" t="n">
        <f aca="false">TRUE()</f>
        <v>1</v>
      </c>
      <c r="R86" s="19" t="n">
        <f aca="false">TRUE()</f>
        <v>1</v>
      </c>
      <c r="S86" s="19" t="n">
        <f aca="false">TRUE()</f>
        <v>1</v>
      </c>
      <c r="T86" s="19" t="n">
        <f aca="false">TRUE()</f>
        <v>1</v>
      </c>
      <c r="U86" s="19" t="n">
        <f aca="false">TRUE()</f>
        <v>1</v>
      </c>
      <c r="V86" s="19" t="n">
        <f aca="false">TRUE()</f>
        <v>1</v>
      </c>
      <c r="W86" s="19" t="n">
        <f aca="false">TRUE()</f>
        <v>1</v>
      </c>
      <c r="X86" s="19" t="n">
        <f aca="false">TRUE()</f>
        <v>1</v>
      </c>
      <c r="Y86" s="19" t="n">
        <f aca="false">TRUE()</f>
        <v>1</v>
      </c>
      <c r="Z86" s="19" t="n">
        <f aca="false">TRUE()</f>
        <v>1</v>
      </c>
      <c r="AA86" s="19" t="n">
        <f aca="false">TRUE()</f>
        <v>1</v>
      </c>
      <c r="AB86" s="19" t="n">
        <f aca="false">FALSE()</f>
        <v>0</v>
      </c>
      <c r="AC86" s="19" t="n">
        <f aca="false">TRUE()</f>
        <v>1</v>
      </c>
      <c r="AD86" s="19" t="n">
        <f aca="false">TRUE()</f>
        <v>1</v>
      </c>
      <c r="AE86" s="19" t="n">
        <f aca="false">FALSE()</f>
        <v>0</v>
      </c>
      <c r="AF86" s="19" t="n">
        <f aca="false">TRUE()</f>
        <v>1</v>
      </c>
      <c r="AG86" s="19" t="n">
        <f aca="false">TRUE()</f>
        <v>1</v>
      </c>
      <c r="AH86" s="19" t="n">
        <f aca="false">TRUE()</f>
        <v>1</v>
      </c>
      <c r="AI86" s="19" t="n">
        <f aca="false">FALSE()</f>
        <v>0</v>
      </c>
      <c r="AJ86" s="19" t="n">
        <f aca="false">FALSE()</f>
        <v>0</v>
      </c>
      <c r="AK86" s="19" t="n">
        <f aca="false" t="array" ref="AK86:AK86">SUM(IF(Q86:U86,1,0))</f>
        <v>5</v>
      </c>
      <c r="AL86" s="20" t="n">
        <f aca="false" t="array" ref="AL86:AL86">SUM(IF(V86:Z86,1,0))</f>
        <v>5</v>
      </c>
      <c r="AM86" s="20" t="n">
        <f aca="false" t="array" ref="AM86:AM86">SUM(IF(AA86:AE86,1,0))</f>
        <v>3</v>
      </c>
      <c r="AN86" s="20" t="n">
        <f aca="false" t="array" ref="AN86:AN86">SUM(IF(AF86:AJ86,1,0))</f>
        <v>3</v>
      </c>
      <c r="AO86" s="19" t="n">
        <f aca="false">TRUE()</f>
        <v>1</v>
      </c>
      <c r="AP86" s="1" t="n">
        <f aca="false">IF(O86 = 2,COUNTIF(Q86:AJ86,"TRUE"),-1)</f>
        <v>16</v>
      </c>
    </row>
    <row r="87" customFormat="false" ht="15.75" hidden="false" customHeight="false" outlineLevel="0" collapsed="false">
      <c r="A87" s="8" t="e">
        <f aca="true">INDIRECT("'Ответы на форму (1)'!A"&amp;$N87,TRUE())</f>
        <v>#REF!</v>
      </c>
      <c r="B87" s="0" t="e">
        <f aca="true">INDIRECT("'Ответы на форму (1)'!B"&amp;$N87,TRUE())</f>
        <v>#REF!</v>
      </c>
      <c r="C87" s="0" t="e">
        <f aca="true">INDIRECT("'Ответы на форму (1)'!C"&amp;$N87,TRUE())</f>
        <v>#REF!</v>
      </c>
      <c r="D87" s="0" t="e">
        <f aca="true">INDIRECT("'Ответы на форму (1)'!D"&amp;$N87,TRUE())</f>
        <v>#REF!</v>
      </c>
      <c r="E87" s="0" t="n">
        <f aca="false">IFERROR(__xludf.dummyfunction("iferror(VALUE(REGEXEXTRACT(TEXT(INDIRECT(""'Ответы на форму (1)'!E""&amp;$N87,TRUE),""####""),""[0-9]+"")),IF(IFERROR(SEARCH(""моцро"",INDIRECT(""'Ответы на форму (1)'!E""&amp;$N87,TRUE)),-1) &gt;= 0,117,INDIRECT(""'Ответы на форму (1)'!E""&amp;$N87,TRUE)))"),117)</f>
        <v>117</v>
      </c>
      <c r="F87" s="0" t="e">
        <f aca="true">INDIRECT("'Ответы на форму (1)'!F"&amp;$N87,TRUE())</f>
        <v>#REF!</v>
      </c>
      <c r="G87" s="9" t="e">
        <f aca="true">IFERROR(MID(INDIRECT("'Ответы на форму (1)'!G"&amp;$N87,TRUE()),SEARCH("vk.com",INDIRECT("'Ответы на форму (1)'!G"&amp;$N87,TRUE())),LEN(INDIRECT("'Ответы на форму (1)'!G"&amp;$N87,TRUE()))),INDIRECT("'Ответы на форму (1)'!G"&amp;$N87,TRUE()))</f>
        <v>#REF!</v>
      </c>
      <c r="H87" s="0" t="e">
        <f aca="true">INDIRECT("'Ответы на форму (1)'!H"&amp;$N87,TRUE())</f>
        <v>#REF!</v>
      </c>
      <c r="I87" s="12" t="e">
        <f aca="true">INDIRECT("'Ответы на форму (1)'!I"&amp;$N87,TRUE())</f>
        <v>#REF!</v>
      </c>
      <c r="J87" s="12" t="e">
        <f aca="true">INDIRECT("'Ответы на форму (1)'!J"&amp;$N87,TRUE())</f>
        <v>#REF!</v>
      </c>
      <c r="K87" s="12" t="e">
        <f aca="true">INDIRECT("'Ответы на форму (1)'!K"&amp;$N87,TRUE())</f>
        <v>#REF!</v>
      </c>
      <c r="L87" s="12" t="e">
        <f aca="true">INDIRECT("'Ответы на форму (1)'!L"&amp;$N87,TRUE())</f>
        <v>#REF!</v>
      </c>
      <c r="M87" s="0" t="e">
        <f aca="false" t="array" ref="M87:M87">IF(B87 &lt;&gt; "",IF(COUNTIF(concat(TRIM('Список прошлого года'!$B$2:$B$200),TRIM('Список прошлого года'!$C$2:$C$200)),concat(TRIM(B87),TRIM(C87))) &gt; 0,"Да","Нет"),"")</f>
        <v>#REF!</v>
      </c>
      <c r="N87" s="1" t="n">
        <v>96</v>
      </c>
      <c r="O87" s="1" t="n">
        <v>2</v>
      </c>
      <c r="Q87" s="1" t="n">
        <f aca="false">TRUE()</f>
        <v>1</v>
      </c>
      <c r="R87" s="1" t="n">
        <f aca="false">TRUE()</f>
        <v>1</v>
      </c>
      <c r="S87" s="1" t="n">
        <f aca="false">TRUE()</f>
        <v>1</v>
      </c>
      <c r="T87" s="1" t="n">
        <f aca="false">TRUE()</f>
        <v>1</v>
      </c>
      <c r="U87" s="1" t="n">
        <f aca="false">TRUE()</f>
        <v>1</v>
      </c>
      <c r="V87" s="1" t="n">
        <f aca="false">TRUE()</f>
        <v>1</v>
      </c>
      <c r="W87" s="1" t="n">
        <f aca="false">TRUE()</f>
        <v>1</v>
      </c>
      <c r="X87" s="1" t="n">
        <f aca="false">TRUE()</f>
        <v>1</v>
      </c>
      <c r="Y87" s="1" t="n">
        <f aca="false">TRUE()</f>
        <v>1</v>
      </c>
      <c r="Z87" s="1" t="n">
        <f aca="false">TRUE()</f>
        <v>1</v>
      </c>
      <c r="AA87" s="1" t="n">
        <f aca="false">TRUE()</f>
        <v>1</v>
      </c>
      <c r="AB87" s="1" t="n">
        <f aca="false">TRUE()</f>
        <v>1</v>
      </c>
      <c r="AC87" s="1" t="n">
        <f aca="false">FALSE()</f>
        <v>0</v>
      </c>
      <c r="AD87" s="1" t="n">
        <f aca="false">FALSE()</f>
        <v>0</v>
      </c>
      <c r="AE87" s="1" t="n">
        <f aca="false">FALSE()</f>
        <v>0</v>
      </c>
      <c r="AF87" s="1" t="n">
        <f aca="false">TRUE()</f>
        <v>1</v>
      </c>
      <c r="AG87" s="1" t="n">
        <f aca="false">TRUE()</f>
        <v>1</v>
      </c>
      <c r="AH87" s="1" t="n">
        <f aca="false">FALSE()</f>
        <v>0</v>
      </c>
      <c r="AI87" s="1" t="n">
        <f aca="false">FALSE()</f>
        <v>0</v>
      </c>
      <c r="AJ87" s="1" t="n">
        <f aca="false">FALSE()</f>
        <v>0</v>
      </c>
      <c r="AK87" s="1" t="n">
        <f aca="false" t="array" ref="AK87:AK87">SUM(IF(Q87:U87,1,0))</f>
        <v>5</v>
      </c>
      <c r="AL87" s="14" t="n">
        <f aca="false" t="array" ref="AL87:AL87">SUM(IF(V87:Z87,1,0))</f>
        <v>5</v>
      </c>
      <c r="AM87" s="14" t="n">
        <f aca="false" t="array" ref="AM87:AM87">SUM(IF(AA87:AE87,1,0))</f>
        <v>2</v>
      </c>
      <c r="AN87" s="14" t="n">
        <f aca="false" t="array" ref="AN87:AN87">SUM(IF(AF87:AJ87,1,0))</f>
        <v>2</v>
      </c>
      <c r="AO87" s="1" t="n">
        <f aca="false">FALSE()</f>
        <v>0</v>
      </c>
      <c r="AP87" s="1" t="n">
        <f aca="false">IF(O87 = 2,COUNTIF(Q87:AJ87,"TRUE"),-1)</f>
        <v>14</v>
      </c>
    </row>
    <row r="88" customFormat="false" ht="15.75" hidden="false" customHeight="false" outlineLevel="0" collapsed="false">
      <c r="A88" s="8" t="e">
        <f aca="true">INDIRECT("'Ответы на форму (1)'!A"&amp;$N88,TRUE())</f>
        <v>#REF!</v>
      </c>
      <c r="B88" s="0" t="e">
        <f aca="true">INDIRECT("'Ответы на форму (1)'!B"&amp;$N88,TRUE())</f>
        <v>#REF!</v>
      </c>
      <c r="C88" s="0" t="e">
        <f aca="true">INDIRECT("'Ответы на форму (1)'!C"&amp;$N88,TRUE())</f>
        <v>#REF!</v>
      </c>
      <c r="D88" s="0" t="e">
        <f aca="true">INDIRECT("'Ответы на форму (1)'!D"&amp;$N88,TRUE())</f>
        <v>#REF!</v>
      </c>
      <c r="E88" s="0" t="n">
        <f aca="false">IFERROR(__xludf.dummyfunction("iferror(VALUE(REGEXEXTRACT(TEXT(INDIRECT(""'Ответы на форму (1)'!E""&amp;$N88,TRUE),""####""),""[0-9]+"")),IF(IFERROR(SEARCH(""моцро"",INDIRECT(""'Ответы на форму (1)'!E""&amp;$N88,TRUE)),-1) &gt;= 0,117,INDIRECT(""'Ответы на форму (1)'!E""&amp;$N88,TRUE)))"),117)</f>
        <v>117</v>
      </c>
      <c r="F88" s="0" t="e">
        <f aca="true">INDIRECT("'Ответы на форму (1)'!F"&amp;$N88,TRUE())</f>
        <v>#REF!</v>
      </c>
      <c r="G88" s="9" t="e">
        <f aca="true">IFERROR(MID(INDIRECT("'Ответы на форму (1)'!G"&amp;$N88,TRUE()),SEARCH("vk.com",INDIRECT("'Ответы на форму (1)'!G"&amp;$N88,TRUE())),LEN(INDIRECT("'Ответы на форму (1)'!G"&amp;$N88,TRUE()))),INDIRECT("'Ответы на форму (1)'!G"&amp;$N88,TRUE()))</f>
        <v>#REF!</v>
      </c>
      <c r="H88" s="0" t="e">
        <f aca="true">INDIRECT("'Ответы на форму (1)'!H"&amp;$N88,TRUE())</f>
        <v>#REF!</v>
      </c>
      <c r="I88" s="12" t="e">
        <f aca="true">INDIRECT("'Ответы на форму (1)'!I"&amp;$N88,TRUE())</f>
        <v>#REF!</v>
      </c>
      <c r="J88" s="12" t="e">
        <f aca="true">INDIRECT("'Ответы на форму (1)'!J"&amp;$N88,TRUE())</f>
        <v>#REF!</v>
      </c>
      <c r="K88" s="12" t="e">
        <f aca="true">INDIRECT("'Ответы на форму (1)'!K"&amp;$N88,TRUE())</f>
        <v>#REF!</v>
      </c>
      <c r="L88" s="12" t="e">
        <f aca="true">INDIRECT("'Ответы на форму (1)'!L"&amp;$N88,TRUE())</f>
        <v>#REF!</v>
      </c>
      <c r="M88" s="0" t="e">
        <f aca="false" t="array" ref="M88:M88">IF(B88 &lt;&gt; "",IF(COUNTIF(concat(TRIM('Список прошлого года'!$B$2:$B$200),TRIM('Список прошлого года'!$C$2:$C$200)),concat(TRIM(B88),TRIM(C88))) &gt; 0,"Да","Нет"),"")</f>
        <v>#REF!</v>
      </c>
      <c r="N88" s="1" t="n">
        <v>97</v>
      </c>
      <c r="O88" s="1" t="n">
        <v>2</v>
      </c>
      <c r="Q88" s="1" t="n">
        <f aca="false">FALSE()</f>
        <v>0</v>
      </c>
      <c r="R88" s="1" t="n">
        <f aca="false">FALSE()</f>
        <v>0</v>
      </c>
      <c r="S88" s="1" t="n">
        <f aca="false">FALSE()</f>
        <v>0</v>
      </c>
      <c r="T88" s="1" t="n">
        <f aca="false">FALSE()</f>
        <v>0</v>
      </c>
      <c r="U88" s="1" t="n">
        <f aca="false">FALSE()</f>
        <v>0</v>
      </c>
      <c r="V88" s="1" t="n">
        <f aca="false">FALSE()</f>
        <v>0</v>
      </c>
      <c r="W88" s="1" t="n">
        <f aca="false">FALSE()</f>
        <v>0</v>
      </c>
      <c r="X88" s="1" t="n">
        <f aca="false">FALSE()</f>
        <v>0</v>
      </c>
      <c r="Y88" s="1" t="n">
        <f aca="false">FALSE()</f>
        <v>0</v>
      </c>
      <c r="Z88" s="1" t="n">
        <f aca="false">FALSE()</f>
        <v>0</v>
      </c>
      <c r="AA88" s="1" t="n">
        <f aca="false">FALSE()</f>
        <v>0</v>
      </c>
      <c r="AB88" s="1" t="n">
        <f aca="false">FALSE()</f>
        <v>0</v>
      </c>
      <c r="AC88" s="1" t="n">
        <f aca="false">FALSE()</f>
        <v>0</v>
      </c>
      <c r="AD88" s="1" t="n">
        <f aca="false">FALSE()</f>
        <v>0</v>
      </c>
      <c r="AE88" s="1" t="n">
        <f aca="false">FALSE()</f>
        <v>0</v>
      </c>
      <c r="AF88" s="1" t="n">
        <f aca="false">FALSE()</f>
        <v>0</v>
      </c>
      <c r="AG88" s="1" t="n">
        <f aca="false">FALSE()</f>
        <v>0</v>
      </c>
      <c r="AH88" s="1" t="n">
        <f aca="false">FALSE()</f>
        <v>0</v>
      </c>
      <c r="AI88" s="1" t="n">
        <f aca="false">FALSE()</f>
        <v>0</v>
      </c>
      <c r="AJ88" s="1" t="n">
        <f aca="false">FALSE()</f>
        <v>0</v>
      </c>
      <c r="AK88" s="1" t="n">
        <f aca="false" t="array" ref="AK88:AK88">SUM(IF(Q88:U88,1,0))</f>
        <v>0</v>
      </c>
      <c r="AL88" s="14" t="n">
        <f aca="false" t="array" ref="AL88:AL88">SUM(IF(V88:Z88,1,0))</f>
        <v>0</v>
      </c>
      <c r="AM88" s="14" t="n">
        <f aca="false" t="array" ref="AM88:AM88">SUM(IF(AA88:AE88,1,0))</f>
        <v>0</v>
      </c>
      <c r="AN88" s="14" t="n">
        <f aca="false" t="array" ref="AN88:AN88">SUM(IF(AF88:AJ88,1,0))</f>
        <v>0</v>
      </c>
      <c r="AO88" s="1" t="n">
        <f aca="false">FALSE()</f>
        <v>0</v>
      </c>
      <c r="AP88" s="1" t="n">
        <f aca="false">IF(O88 = 2,COUNTIF(Q88:AJ88,"TRUE"),-1)</f>
        <v>0</v>
      </c>
    </row>
    <row r="89" customFormat="false" ht="15.75" hidden="false" customHeight="false" outlineLevel="0" collapsed="false">
      <c r="A89" s="8" t="e">
        <f aca="true">INDIRECT("'Ответы на форму (1)'!A"&amp;$N89,TRUE())</f>
        <v>#REF!</v>
      </c>
      <c r="B89" s="0" t="e">
        <f aca="true">INDIRECT("'Ответы на форму (1)'!B"&amp;$N89,TRUE())</f>
        <v>#REF!</v>
      </c>
      <c r="C89" s="0" t="e">
        <f aca="true">INDIRECT("'Ответы на форму (1)'!C"&amp;$N89,TRUE())</f>
        <v>#REF!</v>
      </c>
      <c r="D89" s="0" t="e">
        <f aca="true">INDIRECT("'Ответы на форму (1)'!D"&amp;$N89,TRUE())</f>
        <v>#REF!</v>
      </c>
      <c r="E89" s="0" t="n">
        <f aca="false">IFERROR(__xludf.dummyfunction("iferror(VALUE(REGEXEXTRACT(TEXT(INDIRECT(""'Ответы на форму (1)'!E""&amp;$N89,TRUE),""####""),""[0-9]+"")),IF(IFERROR(SEARCH(""моцро"",INDIRECT(""'Ответы на форму (1)'!E""&amp;$N89,TRUE)),-1) &gt;= 0,117,INDIRECT(""'Ответы на форму (1)'!E""&amp;$N89,TRUE)))"),177)</f>
        <v>177</v>
      </c>
      <c r="F89" s="0" t="e">
        <f aca="true">INDIRECT("'Ответы на форму (1)'!F"&amp;$N89,TRUE())</f>
        <v>#REF!</v>
      </c>
      <c r="G89" s="9" t="e">
        <f aca="true">IFERROR(MID(INDIRECT("'Ответы на форму (1)'!G"&amp;$N89,TRUE()),SEARCH("vk.com",INDIRECT("'Ответы на форму (1)'!G"&amp;$N89,TRUE())),LEN(INDIRECT("'Ответы на форму (1)'!G"&amp;$N89,TRUE()))),INDIRECT("'Ответы на форму (1)'!G"&amp;$N89,TRUE()))</f>
        <v>#REF!</v>
      </c>
      <c r="H89" s="0" t="e">
        <f aca="true">INDIRECT("'Ответы на форму (1)'!H"&amp;$N89,TRUE())</f>
        <v>#REF!</v>
      </c>
      <c r="I89" s="12" t="e">
        <f aca="true">INDIRECT("'Ответы на форму (1)'!I"&amp;$N89,TRUE())</f>
        <v>#REF!</v>
      </c>
      <c r="J89" s="12" t="e">
        <f aca="true">INDIRECT("'Ответы на форму (1)'!J"&amp;$N89,TRUE())</f>
        <v>#REF!</v>
      </c>
      <c r="K89" s="12" t="e">
        <f aca="true">INDIRECT("'Ответы на форму (1)'!K"&amp;$N89,TRUE())</f>
        <v>#REF!</v>
      </c>
      <c r="L89" s="12" t="e">
        <f aca="true">INDIRECT("'Ответы на форму (1)'!L"&amp;$N89,TRUE())</f>
        <v>#REF!</v>
      </c>
      <c r="M89" s="0" t="e">
        <f aca="false" t="array" ref="M89:M89">IF(B89 &lt;&gt; "",IF(COUNTIF(concat(TRIM('Список прошлого года'!$B$2:$B$200),TRIM('Список прошлого года'!$C$2:$C$200)),concat(TRIM(B89),TRIM(C89))) &gt; 0,"Да","Нет"),"")</f>
        <v>#REF!</v>
      </c>
      <c r="N89" s="1" t="n">
        <v>98</v>
      </c>
      <c r="O89" s="1" t="n">
        <v>2</v>
      </c>
      <c r="P89" s="1" t="s">
        <v>784</v>
      </c>
      <c r="Q89" s="1" t="n">
        <f aca="false">FALSE()</f>
        <v>0</v>
      </c>
      <c r="R89" s="1" t="n">
        <f aca="false">FALSE()</f>
        <v>0</v>
      </c>
      <c r="S89" s="1" t="n">
        <f aca="false">FALSE()</f>
        <v>0</v>
      </c>
      <c r="T89" s="1" t="n">
        <f aca="false">FALSE()</f>
        <v>0</v>
      </c>
      <c r="U89" s="1" t="n">
        <f aca="false">FALSE()</f>
        <v>0</v>
      </c>
      <c r="V89" s="1" t="n">
        <f aca="false">FALSE()</f>
        <v>0</v>
      </c>
      <c r="W89" s="1" t="n">
        <f aca="false">FALSE()</f>
        <v>0</v>
      </c>
      <c r="X89" s="1" t="n">
        <f aca="false">FALSE()</f>
        <v>0</v>
      </c>
      <c r="Y89" s="1" t="n">
        <f aca="false">FALSE()</f>
        <v>0</v>
      </c>
      <c r="Z89" s="1" t="n">
        <f aca="false">FALSE()</f>
        <v>0</v>
      </c>
      <c r="AA89" s="1" t="n">
        <f aca="false">FALSE()</f>
        <v>0</v>
      </c>
      <c r="AB89" s="1" t="n">
        <f aca="false">FALSE()</f>
        <v>0</v>
      </c>
      <c r="AC89" s="1" t="n">
        <f aca="false">FALSE()</f>
        <v>0</v>
      </c>
      <c r="AD89" s="1" t="n">
        <f aca="false">FALSE()</f>
        <v>0</v>
      </c>
      <c r="AE89" s="1" t="n">
        <f aca="false">FALSE()</f>
        <v>0</v>
      </c>
      <c r="AF89" s="1" t="n">
        <f aca="false">FALSE()</f>
        <v>0</v>
      </c>
      <c r="AG89" s="1" t="n">
        <f aca="false">FALSE()</f>
        <v>0</v>
      </c>
      <c r="AH89" s="1" t="n">
        <f aca="false">FALSE()</f>
        <v>0</v>
      </c>
      <c r="AI89" s="1" t="n">
        <f aca="false">FALSE()</f>
        <v>0</v>
      </c>
      <c r="AJ89" s="1" t="n">
        <f aca="false">FALSE()</f>
        <v>0</v>
      </c>
      <c r="AK89" s="1" t="n">
        <f aca="false" t="array" ref="AK89:AK89">SUM(IF(Q89:U89,1,0))</f>
        <v>0</v>
      </c>
      <c r="AL89" s="14" t="n">
        <f aca="false" t="array" ref="AL89:AL89">SUM(IF(V89:Z89,1,0))</f>
        <v>0</v>
      </c>
      <c r="AM89" s="14" t="n">
        <f aca="false" t="array" ref="AM89:AM89">SUM(IF(AA89:AE89,1,0))</f>
        <v>0</v>
      </c>
      <c r="AN89" s="14" t="n">
        <f aca="false" t="array" ref="AN89:AN89">SUM(IF(AF89:AJ89,1,0))</f>
        <v>0</v>
      </c>
      <c r="AO89" s="1" t="n">
        <f aca="false">FALSE()</f>
        <v>0</v>
      </c>
      <c r="AP89" s="1" t="n">
        <f aca="false">IF(O89 = 2,COUNTIF(Q89:AJ89,"TRUE"),-1)</f>
        <v>0</v>
      </c>
    </row>
    <row r="90" customFormat="false" ht="15.75" hidden="false" customHeight="false" outlineLevel="0" collapsed="false">
      <c r="A90" s="8" t="e">
        <f aca="true">INDIRECT("'Ответы на форму (1)'!A"&amp;$N90,TRUE())</f>
        <v>#REF!</v>
      </c>
      <c r="B90" s="0" t="e">
        <f aca="true">INDIRECT("'Ответы на форму (1)'!B"&amp;$N90,TRUE())</f>
        <v>#REF!</v>
      </c>
      <c r="C90" s="0" t="e">
        <f aca="true">INDIRECT("'Ответы на форму (1)'!C"&amp;$N90,TRUE())</f>
        <v>#REF!</v>
      </c>
      <c r="D90" s="0" t="e">
        <f aca="true">INDIRECT("'Ответы на форму (1)'!D"&amp;$N90,TRUE())</f>
        <v>#REF!</v>
      </c>
      <c r="E90" s="0" t="n">
        <f aca="false">IFERROR(__xludf.dummyfunction("iferror(VALUE(REGEXEXTRACT(TEXT(INDIRECT(""'Ответы на форму (1)'!E""&amp;$N90,TRUE),""####""),""[0-9]+"")),IF(IFERROR(SEARCH(""моцро"",INDIRECT(""'Ответы на форму (1)'!E""&amp;$N90,TRUE)),-1) &gt;= 0,117,INDIRECT(""'Ответы на форму (1)'!E""&amp;$N90,TRUE)))"),117)</f>
        <v>117</v>
      </c>
      <c r="F90" s="0" t="e">
        <f aca="true">INDIRECT("'Ответы на форму (1)'!F"&amp;$N90,TRUE())</f>
        <v>#REF!</v>
      </c>
      <c r="G90" s="9" t="e">
        <f aca="true">IFERROR(MID(INDIRECT("'Ответы на форму (1)'!G"&amp;$N90,TRUE()),SEARCH("vk.com",INDIRECT("'Ответы на форму (1)'!G"&amp;$N90,TRUE())),LEN(INDIRECT("'Ответы на форму (1)'!G"&amp;$N90,TRUE()))),INDIRECT("'Ответы на форму (1)'!G"&amp;$N90,TRUE()))</f>
        <v>#REF!</v>
      </c>
      <c r="H90" s="0" t="e">
        <f aca="true">INDIRECT("'Ответы на форму (1)'!H"&amp;$N90,TRUE())</f>
        <v>#REF!</v>
      </c>
      <c r="I90" s="12" t="e">
        <f aca="true">INDIRECT("'Ответы на форму (1)'!I"&amp;$N90,TRUE())</f>
        <v>#REF!</v>
      </c>
      <c r="J90" s="12" t="e">
        <f aca="true">INDIRECT("'Ответы на форму (1)'!J"&amp;$N90,TRUE())</f>
        <v>#REF!</v>
      </c>
      <c r="K90" s="12" t="e">
        <f aca="true">INDIRECT("'Ответы на форму (1)'!K"&amp;$N90,TRUE())</f>
        <v>#REF!</v>
      </c>
      <c r="L90" s="12" t="e">
        <f aca="true">INDIRECT("'Ответы на форму (1)'!L"&amp;$N90,TRUE())</f>
        <v>#REF!</v>
      </c>
      <c r="M90" s="0" t="e">
        <f aca="false" t="array" ref="M90:M90">IF(B90 &lt;&gt; "",IF(COUNTIF(concat(TRIM('Список прошлого года'!$B$2:$B$200),TRIM('Список прошлого года'!$C$2:$C$200)),concat(TRIM(B90),TRIM(C90))) &gt; 0,"Да","Нет"),"")</f>
        <v>#REF!</v>
      </c>
      <c r="N90" s="1" t="n">
        <v>99</v>
      </c>
      <c r="O90" s="1" t="n">
        <v>2</v>
      </c>
      <c r="Q90" s="1" t="n">
        <f aca="false">TRUE()</f>
        <v>1</v>
      </c>
      <c r="R90" s="1" t="n">
        <f aca="false">TRUE()</f>
        <v>1</v>
      </c>
      <c r="S90" s="1" t="n">
        <f aca="false">TRUE()</f>
        <v>1</v>
      </c>
      <c r="T90" s="1" t="n">
        <f aca="false">TRUE()</f>
        <v>1</v>
      </c>
      <c r="U90" s="1" t="n">
        <f aca="false">TRUE()</f>
        <v>1</v>
      </c>
      <c r="V90" s="1" t="n">
        <f aca="false">TRUE()</f>
        <v>1</v>
      </c>
      <c r="W90" s="1" t="n">
        <f aca="false">TRUE()</f>
        <v>1</v>
      </c>
      <c r="X90" s="1" t="n">
        <f aca="false">TRUE()</f>
        <v>1</v>
      </c>
      <c r="Y90" s="1" t="n">
        <f aca="false">TRUE()</f>
        <v>1</v>
      </c>
      <c r="Z90" s="1" t="n">
        <f aca="false">TRUE()</f>
        <v>1</v>
      </c>
      <c r="AA90" s="1" t="n">
        <f aca="false">FALSE()</f>
        <v>0</v>
      </c>
      <c r="AB90" s="1" t="n">
        <f aca="false">TRUE()</f>
        <v>1</v>
      </c>
      <c r="AC90" s="1" t="n">
        <f aca="false">FALSE()</f>
        <v>0</v>
      </c>
      <c r="AD90" s="1" t="n">
        <f aca="false">TRUE()</f>
        <v>1</v>
      </c>
      <c r="AE90" s="1" t="n">
        <f aca="false">TRUE()</f>
        <v>1</v>
      </c>
      <c r="AF90" s="1" t="n">
        <f aca="false">TRUE()</f>
        <v>1</v>
      </c>
      <c r="AG90" s="1" t="n">
        <f aca="false">TRUE()</f>
        <v>1</v>
      </c>
      <c r="AH90" s="1" t="n">
        <f aca="false">TRUE()</f>
        <v>1</v>
      </c>
      <c r="AI90" s="1" t="n">
        <f aca="false">TRUE()</f>
        <v>1</v>
      </c>
      <c r="AJ90" s="1" t="n">
        <f aca="false">FALSE()</f>
        <v>0</v>
      </c>
      <c r="AK90" s="1" t="n">
        <f aca="false" t="array" ref="AK90:AK90">SUM(IF(Q90:U90,1,0))</f>
        <v>5</v>
      </c>
      <c r="AL90" s="14" t="n">
        <f aca="false" t="array" ref="AL90:AL90">SUM(IF(V90:Z90,1,0))</f>
        <v>5</v>
      </c>
      <c r="AM90" s="14" t="n">
        <f aca="false" t="array" ref="AM90:AM90">SUM(IF(AA90:AE90,1,0))</f>
        <v>3</v>
      </c>
      <c r="AN90" s="14" t="n">
        <f aca="false" t="array" ref="AN90:AN90">SUM(IF(AF90:AJ90,1,0))</f>
        <v>4</v>
      </c>
      <c r="AO90" s="1" t="n">
        <f aca="false">FALSE()</f>
        <v>0</v>
      </c>
      <c r="AP90" s="1" t="n">
        <f aca="false">IF(O90 = 2,COUNTIF(Q90:AJ90,"TRUE"),-1)</f>
        <v>17</v>
      </c>
    </row>
    <row r="91" customFormat="false" ht="15.75" hidden="false" customHeight="false" outlineLevel="0" collapsed="false">
      <c r="A91" s="15" t="e">
        <f aca="true">INDIRECT("'Ответы на форму (1)'!A"&amp;$N91,TRUE())</f>
        <v>#REF!</v>
      </c>
      <c r="B91" s="16" t="e">
        <f aca="true">INDIRECT("'Ответы на форму (1)'!B"&amp;$N91,TRUE())</f>
        <v>#REF!</v>
      </c>
      <c r="C91" s="16" t="e">
        <f aca="true">INDIRECT("'Ответы на форму (1)'!C"&amp;$N91,TRUE())</f>
        <v>#REF!</v>
      </c>
      <c r="D91" s="16" t="e">
        <f aca="true">INDIRECT("'Ответы на форму (1)'!D"&amp;$N91,TRUE())</f>
        <v>#REF!</v>
      </c>
      <c r="E91" s="16" t="n">
        <f aca="false">IFERROR(__xludf.dummyfunction("iferror(VALUE(REGEXEXTRACT(TEXT(INDIRECT(""'Ответы на форму (1)'!E""&amp;$N91,TRUE),""####""),""[0-9]+"")),IF(IFERROR(SEARCH(""моцро"",INDIRECT(""'Ответы на форму (1)'!E""&amp;$N91,TRUE)),-1) &gt;= 0,117,INDIRECT(""'Ответы на форму (1)'!E""&amp;$N91,TRUE)))"),117)</f>
        <v>117</v>
      </c>
      <c r="F91" s="16" t="e">
        <f aca="true">INDIRECT("'Ответы на форму (1)'!F"&amp;$N91,TRUE())</f>
        <v>#REF!</v>
      </c>
      <c r="G91" s="17" t="e">
        <f aca="true">IFERROR(MID(INDIRECT("'Ответы на форму (1)'!G"&amp;$N91,TRUE()),SEARCH("vk.com",INDIRECT("'Ответы на форму (1)'!G"&amp;$N91,TRUE())),LEN(INDIRECT("'Ответы на форму (1)'!G"&amp;$N91,TRUE()))),INDIRECT("'Ответы на форму (1)'!G"&amp;$N91,TRUE()))</f>
        <v>#REF!</v>
      </c>
      <c r="H91" s="16" t="e">
        <f aca="true">INDIRECT("'Ответы на форму (1)'!H"&amp;$N91,TRUE())</f>
        <v>#REF!</v>
      </c>
      <c r="I91" s="16" t="e">
        <f aca="true">INDIRECT("'Ответы на форму (1)'!I"&amp;$N91,TRUE())</f>
        <v>#REF!</v>
      </c>
      <c r="J91" s="16" t="e">
        <f aca="true">INDIRECT("'Ответы на форму (1)'!J"&amp;$N91,TRUE())</f>
        <v>#REF!</v>
      </c>
      <c r="K91" s="16" t="e">
        <f aca="true">INDIRECT("'Ответы на форму (1)'!K"&amp;$N91,TRUE())</f>
        <v>#REF!</v>
      </c>
      <c r="L91" s="16" t="e">
        <f aca="true">INDIRECT("'Ответы на форму (1)'!L"&amp;$N91,TRUE())</f>
        <v>#REF!</v>
      </c>
      <c r="M91" s="16" t="e">
        <f aca="false" t="array" ref="M91:M91">IF(B91 &lt;&gt; "",IF(COUNTIF(concat(TRIM('Список прошлого года'!$B$2:$B$200),TRIM('Список прошлого года'!$C$2:$C$200)),concat(TRIM(B91),TRIM(C91))) &gt; 0,"Да","Нет"),"")</f>
        <v>#REF!</v>
      </c>
      <c r="N91" s="19" t="n">
        <v>100</v>
      </c>
      <c r="O91" s="19" t="n">
        <v>2</v>
      </c>
      <c r="P91" s="16"/>
      <c r="Q91" s="19" t="n">
        <f aca="false">TRUE()</f>
        <v>1</v>
      </c>
      <c r="R91" s="19" t="n">
        <f aca="false">TRUE()</f>
        <v>1</v>
      </c>
      <c r="S91" s="19" t="n">
        <f aca="false">TRUE()</f>
        <v>1</v>
      </c>
      <c r="T91" s="19" t="n">
        <f aca="false">TRUE()</f>
        <v>1</v>
      </c>
      <c r="U91" s="19" t="n">
        <f aca="false">TRUE()</f>
        <v>1</v>
      </c>
      <c r="V91" s="19" t="n">
        <f aca="false">TRUE()</f>
        <v>1</v>
      </c>
      <c r="W91" s="19" t="n">
        <f aca="false">TRUE()</f>
        <v>1</v>
      </c>
      <c r="X91" s="19" t="n">
        <f aca="false">TRUE()</f>
        <v>1</v>
      </c>
      <c r="Y91" s="19" t="n">
        <f aca="false">TRUE()</f>
        <v>1</v>
      </c>
      <c r="Z91" s="19" t="n">
        <f aca="false">TRUE()</f>
        <v>1</v>
      </c>
      <c r="AA91" s="19" t="n">
        <f aca="false">TRUE()</f>
        <v>1</v>
      </c>
      <c r="AB91" s="19" t="n">
        <f aca="false">TRUE()</f>
        <v>1</v>
      </c>
      <c r="AC91" s="19" t="n">
        <f aca="false">TRUE()</f>
        <v>1</v>
      </c>
      <c r="AD91" s="19" t="n">
        <f aca="false">TRUE()</f>
        <v>1</v>
      </c>
      <c r="AE91" s="19" t="n">
        <f aca="false">TRUE()</f>
        <v>1</v>
      </c>
      <c r="AF91" s="19" t="n">
        <f aca="false">TRUE()</f>
        <v>1</v>
      </c>
      <c r="AG91" s="19" t="n">
        <f aca="false">FALSE()</f>
        <v>0</v>
      </c>
      <c r="AH91" s="19" t="n">
        <f aca="false">TRUE()</f>
        <v>1</v>
      </c>
      <c r="AI91" s="19" t="n">
        <f aca="false">TRUE()</f>
        <v>1</v>
      </c>
      <c r="AJ91" s="19" t="n">
        <f aca="false">TRUE()</f>
        <v>1</v>
      </c>
      <c r="AK91" s="19" t="n">
        <f aca="false" t="array" ref="AK91:AK91">SUM(IF(Q91:U91,1,0))</f>
        <v>5</v>
      </c>
      <c r="AL91" s="20" t="n">
        <f aca="false" t="array" ref="AL91:AL91">SUM(IF(V91:Z91,1,0))</f>
        <v>5</v>
      </c>
      <c r="AM91" s="20" t="n">
        <f aca="false" t="array" ref="AM91:AM91">SUM(IF(AA91:AE91,1,0))</f>
        <v>5</v>
      </c>
      <c r="AN91" s="20" t="n">
        <f aca="false" t="array" ref="AN91:AN91">SUM(IF(AF91:AJ91,1,0))</f>
        <v>4</v>
      </c>
      <c r="AO91" s="19" t="n">
        <f aca="false">TRUE()</f>
        <v>1</v>
      </c>
      <c r="AP91" s="1" t="n">
        <f aca="false">IF(O91 = 2,COUNTIF(Q91:AJ91,"TRUE"),-1)</f>
        <v>19</v>
      </c>
    </row>
    <row r="92" customFormat="false" ht="15.75" hidden="false" customHeight="false" outlineLevel="0" collapsed="false">
      <c r="A92" s="8" t="e">
        <f aca="true">INDIRECT("'Ответы на форму (1)'!A"&amp;$N92,TRUE())</f>
        <v>#REF!</v>
      </c>
      <c r="B92" s="0" t="e">
        <f aca="true">INDIRECT("'Ответы на форму (1)'!B"&amp;$N92,TRUE())</f>
        <v>#REF!</v>
      </c>
      <c r="C92" s="0" t="e">
        <f aca="true">INDIRECT("'Ответы на форму (1)'!C"&amp;$N92,TRUE())</f>
        <v>#REF!</v>
      </c>
      <c r="D92" s="0" t="e">
        <f aca="true">INDIRECT("'Ответы на форму (1)'!D"&amp;$N92,TRUE())</f>
        <v>#REF!</v>
      </c>
      <c r="E92" s="0" t="n">
        <f aca="false">IFERROR(__xludf.dummyfunction("iferror(VALUE(REGEXEXTRACT(TEXT(INDIRECT(""'Ответы на форму (1)'!E""&amp;$N92,TRUE),""####""),""[0-9]+"")),IF(IFERROR(SEARCH(""моцро"",INDIRECT(""'Ответы на форму (1)'!E""&amp;$N92,TRUE)),-1) &gt;= 0,117,INDIRECT(""'Ответы на форму (1)'!E""&amp;$N92,TRUE)))"),139)</f>
        <v>139</v>
      </c>
      <c r="F92" s="0" t="e">
        <f aca="true">INDIRECT("'Ответы на форму (1)'!F"&amp;$N92,TRUE())</f>
        <v>#REF!</v>
      </c>
      <c r="G92" s="9" t="e">
        <f aca="true">IFERROR(MID(INDIRECT("'Ответы на форму (1)'!G"&amp;$N92,TRUE()),SEARCH("vk.com",INDIRECT("'Ответы на форму (1)'!G"&amp;$N92,TRUE())),LEN(INDIRECT("'Ответы на форму (1)'!G"&amp;$N92,TRUE()))),INDIRECT("'Ответы на форму (1)'!G"&amp;$N92,TRUE()))</f>
        <v>#REF!</v>
      </c>
      <c r="H92" s="0" t="e">
        <f aca="true">INDIRECT("'Ответы на форму (1)'!H"&amp;$N92,TRUE())</f>
        <v>#REF!</v>
      </c>
      <c r="I92" s="12" t="e">
        <f aca="true">INDIRECT("'Ответы на форму (1)'!I"&amp;$N92,TRUE())</f>
        <v>#REF!</v>
      </c>
      <c r="J92" s="12" t="e">
        <f aca="true">INDIRECT("'Ответы на форму (1)'!J"&amp;$N92,TRUE())</f>
        <v>#REF!</v>
      </c>
      <c r="K92" s="12" t="e">
        <f aca="true">INDIRECT("'Ответы на форму (1)'!K"&amp;$N92,TRUE())</f>
        <v>#REF!</v>
      </c>
      <c r="L92" s="12" t="e">
        <f aca="true">INDIRECT("'Ответы на форму (1)'!L"&amp;$N92,TRUE())</f>
        <v>#REF!</v>
      </c>
      <c r="M92" s="0" t="e">
        <f aca="false" t="array" ref="M92:M92">IF(B92 &lt;&gt; "",IF(COUNTIF(concat(TRIM('Список прошлого года'!$B$2:$B$200),TRIM('Список прошлого года'!$C$2:$C$200)),concat(TRIM(B92),TRIM(C92))) &gt; 0,"Да","Нет"),"")</f>
        <v>#REF!</v>
      </c>
      <c r="N92" s="1" t="n">
        <v>101</v>
      </c>
      <c r="O92" s="1" t="n">
        <v>2</v>
      </c>
      <c r="Q92" s="1" t="n">
        <f aca="false">TRUE()</f>
        <v>1</v>
      </c>
      <c r="R92" s="1" t="n">
        <f aca="false">TRUE()</f>
        <v>1</v>
      </c>
      <c r="S92" s="1" t="n">
        <f aca="false">TRUE()</f>
        <v>1</v>
      </c>
      <c r="T92" s="1" t="n">
        <f aca="false">TRUE()</f>
        <v>1</v>
      </c>
      <c r="U92" s="1" t="n">
        <f aca="false">TRUE()</f>
        <v>1</v>
      </c>
      <c r="V92" s="1" t="n">
        <f aca="false">TRUE()</f>
        <v>1</v>
      </c>
      <c r="W92" s="1" t="n">
        <f aca="false">TRUE()</f>
        <v>1</v>
      </c>
      <c r="X92" s="1" t="n">
        <f aca="false">TRUE()</f>
        <v>1</v>
      </c>
      <c r="Y92" s="1" t="n">
        <f aca="false">TRUE()</f>
        <v>1</v>
      </c>
      <c r="Z92" s="1" t="n">
        <f aca="false">TRUE()</f>
        <v>1</v>
      </c>
      <c r="AA92" s="1" t="n">
        <f aca="false">TRUE()</f>
        <v>1</v>
      </c>
      <c r="AB92" s="1" t="n">
        <f aca="false">TRUE()</f>
        <v>1</v>
      </c>
      <c r="AC92" s="1" t="n">
        <f aca="false">TRUE()</f>
        <v>1</v>
      </c>
      <c r="AD92" s="1" t="n">
        <f aca="false">TRUE()</f>
        <v>1</v>
      </c>
      <c r="AE92" s="1" t="n">
        <f aca="false">TRUE()</f>
        <v>1</v>
      </c>
      <c r="AF92" s="1" t="n">
        <f aca="false">TRUE()</f>
        <v>1</v>
      </c>
      <c r="AG92" s="1" t="n">
        <f aca="false">TRUE()</f>
        <v>1</v>
      </c>
      <c r="AH92" s="1" t="n">
        <f aca="false">TRUE()</f>
        <v>1</v>
      </c>
      <c r="AI92" s="1" t="n">
        <f aca="false">TRUE()</f>
        <v>1</v>
      </c>
      <c r="AJ92" s="1" t="n">
        <f aca="false">TRUE()</f>
        <v>1</v>
      </c>
      <c r="AK92" s="1" t="n">
        <f aca="false" t="array" ref="AK92:AK92">SUM(IF(Q92:U92,1,0))</f>
        <v>5</v>
      </c>
      <c r="AL92" s="14" t="n">
        <f aca="false" t="array" ref="AL92:AL92">SUM(IF(V92:Z92,1,0))</f>
        <v>5</v>
      </c>
      <c r="AM92" s="14" t="n">
        <f aca="false" t="array" ref="AM92:AM92">SUM(IF(AA92:AE92,1,0))</f>
        <v>5</v>
      </c>
      <c r="AN92" s="14" t="n">
        <f aca="false" t="array" ref="AN92:AN92">SUM(IF(AF92:AJ92,1,0))</f>
        <v>5</v>
      </c>
      <c r="AO92" s="1" t="n">
        <f aca="false">FALSE()</f>
        <v>0</v>
      </c>
      <c r="AP92" s="1" t="n">
        <f aca="false">IF(O92 = 2,COUNTIF(Q92:AJ92,"TRUE"),-1)</f>
        <v>20</v>
      </c>
    </row>
    <row r="93" customFormat="false" ht="15.75" hidden="false" customHeight="false" outlineLevel="0" collapsed="false">
      <c r="A93" s="8" t="e">
        <f aca="true">INDIRECT("'Ответы на форму (1)'!A"&amp;$N93,TRUE())</f>
        <v>#REF!</v>
      </c>
      <c r="B93" s="0" t="e">
        <f aca="true">INDIRECT("'Ответы на форму (1)'!B"&amp;$N93,TRUE())</f>
        <v>#REF!</v>
      </c>
      <c r="C93" s="0" t="e">
        <f aca="true">INDIRECT("'Ответы на форму (1)'!C"&amp;$N93,TRUE())</f>
        <v>#REF!</v>
      </c>
      <c r="D93" s="0" t="e">
        <f aca="true">INDIRECT("'Ответы на форму (1)'!D"&amp;$N93,TRUE())</f>
        <v>#REF!</v>
      </c>
      <c r="E93" s="0" t="n">
        <f aca="false">IFERROR(__xludf.dummyfunction("iferror(VALUE(REGEXEXTRACT(TEXT(INDIRECT(""'Ответы на форму (1)'!E""&amp;$N93,TRUE),""####""),""[0-9]+"")),IF(IFERROR(SEARCH(""моцро"",INDIRECT(""'Ответы на форму (1)'!E""&amp;$N93,TRUE)),-1) &gt;= 0,117,INDIRECT(""'Ответы на форму (1)'!E""&amp;$N93,TRUE)))"),117)</f>
        <v>117</v>
      </c>
      <c r="F93" s="0" t="e">
        <f aca="true">INDIRECT("'Ответы на форму (1)'!F"&amp;$N93,TRUE())</f>
        <v>#REF!</v>
      </c>
      <c r="G93" s="9" t="e">
        <f aca="true">IFERROR(MID(INDIRECT("'Ответы на форму (1)'!G"&amp;$N93,TRUE()),SEARCH("vk.com",INDIRECT("'Ответы на форму (1)'!G"&amp;$N93,TRUE())),LEN(INDIRECT("'Ответы на форму (1)'!G"&amp;$N93,TRUE()))),INDIRECT("'Ответы на форму (1)'!G"&amp;$N93,TRUE()))</f>
        <v>#REF!</v>
      </c>
      <c r="H93" s="0" t="e">
        <f aca="true">INDIRECT("'Ответы на форму (1)'!H"&amp;$N93,TRUE())</f>
        <v>#REF!</v>
      </c>
      <c r="I93" s="12" t="e">
        <f aca="true">INDIRECT("'Ответы на форму (1)'!I"&amp;$N93,TRUE())</f>
        <v>#REF!</v>
      </c>
      <c r="J93" s="12" t="e">
        <f aca="true">INDIRECT("'Ответы на форму (1)'!J"&amp;$N93,TRUE())</f>
        <v>#REF!</v>
      </c>
      <c r="K93" s="12" t="e">
        <f aca="true">INDIRECT("'Ответы на форму (1)'!K"&amp;$N93,TRUE())</f>
        <v>#REF!</v>
      </c>
      <c r="L93" s="12" t="e">
        <f aca="true">INDIRECT("'Ответы на форму (1)'!L"&amp;$N93,TRUE())</f>
        <v>#REF!</v>
      </c>
      <c r="M93" s="0" t="e">
        <f aca="false" t="array" ref="M93:M93">IF(B93 &lt;&gt; "",IF(COUNTIF(concat(TRIM('Список прошлого года'!$B$2:$B$200),TRIM('Список прошлого года'!$C$2:$C$200)),concat(TRIM(B93),TRIM(C93))) &gt; 0,"Да","Нет"),"")</f>
        <v>#REF!</v>
      </c>
      <c r="N93" s="1" t="n">
        <v>102</v>
      </c>
      <c r="O93" s="1" t="n">
        <v>2</v>
      </c>
      <c r="Q93" s="1" t="n">
        <f aca="false">TRUE()</f>
        <v>1</v>
      </c>
      <c r="R93" s="1" t="n">
        <f aca="false">TRUE()</f>
        <v>1</v>
      </c>
      <c r="S93" s="1" t="n">
        <f aca="false">TRUE()</f>
        <v>1</v>
      </c>
      <c r="T93" s="1" t="n">
        <f aca="false">TRUE()</f>
        <v>1</v>
      </c>
      <c r="U93" s="1" t="n">
        <f aca="false">FALSE()</f>
        <v>0</v>
      </c>
      <c r="V93" s="1" t="n">
        <f aca="false">TRUE()</f>
        <v>1</v>
      </c>
      <c r="W93" s="1" t="n">
        <f aca="false">TRUE()</f>
        <v>1</v>
      </c>
      <c r="X93" s="1" t="n">
        <f aca="false">TRUE()</f>
        <v>1</v>
      </c>
      <c r="Y93" s="1" t="n">
        <f aca="false">TRUE()</f>
        <v>1</v>
      </c>
      <c r="Z93" s="1" t="n">
        <f aca="false">FALSE()</f>
        <v>0</v>
      </c>
      <c r="AA93" s="1" t="n">
        <f aca="false">TRUE()</f>
        <v>1</v>
      </c>
      <c r="AB93" s="1" t="n">
        <f aca="false">TRUE()</f>
        <v>1</v>
      </c>
      <c r="AC93" s="1" t="n">
        <f aca="false">TRUE()</f>
        <v>1</v>
      </c>
      <c r="AD93" s="1" t="n">
        <f aca="false">TRUE()</f>
        <v>1</v>
      </c>
      <c r="AE93" s="1" t="n">
        <f aca="false">TRUE()</f>
        <v>1</v>
      </c>
      <c r="AF93" s="1" t="n">
        <f aca="false">TRUE()</f>
        <v>1</v>
      </c>
      <c r="AG93" s="1" t="n">
        <f aca="false">TRUE()</f>
        <v>1</v>
      </c>
      <c r="AH93" s="1" t="n">
        <f aca="false">FALSE()</f>
        <v>0</v>
      </c>
      <c r="AI93" s="1" t="n">
        <f aca="false">TRUE()</f>
        <v>1</v>
      </c>
      <c r="AJ93" s="1" t="n">
        <f aca="false">TRUE()</f>
        <v>1</v>
      </c>
      <c r="AK93" s="1" t="n">
        <f aca="false" t="array" ref="AK93:AK93">SUM(IF(Q93:U93,1,0))</f>
        <v>4</v>
      </c>
      <c r="AL93" s="14" t="n">
        <f aca="false" t="array" ref="AL93:AL93">SUM(IF(V93:Z93,1,0))</f>
        <v>4</v>
      </c>
      <c r="AM93" s="14" t="n">
        <f aca="false" t="array" ref="AM93:AM93">SUM(IF(AA93:AE93,1,0))</f>
        <v>5</v>
      </c>
      <c r="AN93" s="14" t="n">
        <f aca="false" t="array" ref="AN93:AN93">SUM(IF(AF93:AJ93,1,0))</f>
        <v>4</v>
      </c>
      <c r="AO93" s="1" t="n">
        <f aca="false">FALSE()</f>
        <v>0</v>
      </c>
      <c r="AP93" s="1" t="n">
        <f aca="false">IF(O93 = 2,COUNTIF(Q93:AJ93,"TRUE"),-1)</f>
        <v>17</v>
      </c>
    </row>
    <row r="94" customFormat="false" ht="15.75" hidden="false" customHeight="false" outlineLevel="0" collapsed="false">
      <c r="A94" s="8" t="e">
        <f aca="true">INDIRECT("'Ответы на форму (1)'!A"&amp;$N94,TRUE())</f>
        <v>#REF!</v>
      </c>
      <c r="B94" s="0" t="e">
        <f aca="true">INDIRECT("'Ответы на форму (1)'!B"&amp;$N94,TRUE())</f>
        <v>#REF!</v>
      </c>
      <c r="C94" s="0" t="e">
        <f aca="true">INDIRECT("'Ответы на форму (1)'!C"&amp;$N94,TRUE())</f>
        <v>#REF!</v>
      </c>
      <c r="D94" s="0" t="e">
        <f aca="true">INDIRECT("'Ответы на форму (1)'!D"&amp;$N94,TRUE())</f>
        <v>#REF!</v>
      </c>
      <c r="E94" s="0" t="n">
        <f aca="false">IFERROR(__xludf.dummyfunction("iferror(VALUE(REGEXEXTRACT(TEXT(INDIRECT(""'Ответы на форму (1)'!E""&amp;$N94,TRUE),""####""),""[0-9]+"")),IF(IFERROR(SEARCH(""моцро"",INDIRECT(""'Ответы на форму (1)'!E""&amp;$N94,TRUE)),-1) &gt;= 0,117,INDIRECT(""'Ответы на форму (1)'!E""&amp;$N94,TRUE)))"),149)</f>
        <v>149</v>
      </c>
      <c r="F94" s="0" t="e">
        <f aca="true">INDIRECT("'Ответы на форму (1)'!F"&amp;$N94,TRUE())</f>
        <v>#REF!</v>
      </c>
      <c r="G94" s="9" t="e">
        <f aca="true">IFERROR(MID(INDIRECT("'Ответы на форму (1)'!G"&amp;$N94,TRUE()),SEARCH("vk.com",INDIRECT("'Ответы на форму (1)'!G"&amp;$N94,TRUE())),LEN(INDIRECT("'Ответы на форму (1)'!G"&amp;$N94,TRUE()))),INDIRECT("'Ответы на форму (1)'!G"&amp;$N94,TRUE()))</f>
        <v>#REF!</v>
      </c>
      <c r="H94" s="0" t="e">
        <f aca="true">INDIRECT("'Ответы на форму (1)'!H"&amp;$N94,TRUE())</f>
        <v>#REF!</v>
      </c>
      <c r="I94" s="12" t="e">
        <f aca="true">INDIRECT("'Ответы на форму (1)'!I"&amp;$N94,TRUE())</f>
        <v>#REF!</v>
      </c>
      <c r="J94" s="12" t="e">
        <f aca="true">INDIRECT("'Ответы на форму (1)'!J"&amp;$N94,TRUE())</f>
        <v>#REF!</v>
      </c>
      <c r="K94" s="12" t="e">
        <f aca="true">INDIRECT("'Ответы на форму (1)'!K"&amp;$N94,TRUE())</f>
        <v>#REF!</v>
      </c>
      <c r="L94" s="12" t="e">
        <f aca="true">INDIRECT("'Ответы на форму (1)'!L"&amp;$N94,TRUE())</f>
        <v>#REF!</v>
      </c>
      <c r="M94" s="0" t="e">
        <f aca="false" t="array" ref="M94:M94">IF(B94 &lt;&gt; "",IF(COUNTIF(concat(TRIM('Список прошлого года'!$B$2:$B$200),TRIM('Список прошлого года'!$C$2:$C$200)),concat(TRIM(B94),TRIM(C94))) &gt; 0,"Да","Нет"),"")</f>
        <v>#REF!</v>
      </c>
      <c r="N94" s="1" t="n">
        <v>103</v>
      </c>
      <c r="O94" s="1" t="n">
        <v>2</v>
      </c>
      <c r="Q94" s="1" t="n">
        <f aca="false">TRUE()</f>
        <v>1</v>
      </c>
      <c r="R94" s="1" t="n">
        <f aca="false">FALSE()</f>
        <v>0</v>
      </c>
      <c r="S94" s="1" t="n">
        <f aca="false">FALSE()</f>
        <v>0</v>
      </c>
      <c r="T94" s="1" t="n">
        <f aca="false">TRUE()</f>
        <v>1</v>
      </c>
      <c r="U94" s="1" t="n">
        <f aca="false">FALSE()</f>
        <v>0</v>
      </c>
      <c r="V94" s="1" t="n">
        <f aca="false">TRUE()</f>
        <v>1</v>
      </c>
      <c r="W94" s="1" t="n">
        <f aca="false">FALSE()</f>
        <v>0</v>
      </c>
      <c r="X94" s="1" t="n">
        <f aca="false">FALSE()</f>
        <v>0</v>
      </c>
      <c r="Y94" s="1" t="n">
        <f aca="false">TRUE()</f>
        <v>1</v>
      </c>
      <c r="Z94" s="1" t="n">
        <f aca="false">FALSE()</f>
        <v>0</v>
      </c>
      <c r="AA94" s="1" t="n">
        <f aca="false">FALSE()</f>
        <v>0</v>
      </c>
      <c r="AB94" s="1" t="n">
        <f aca="false">FALSE()</f>
        <v>0</v>
      </c>
      <c r="AC94" s="1" t="n">
        <f aca="false">TRUE()</f>
        <v>1</v>
      </c>
      <c r="AD94" s="1" t="n">
        <f aca="false">TRUE()</f>
        <v>1</v>
      </c>
      <c r="AE94" s="1" t="n">
        <f aca="false">FALSE()</f>
        <v>0</v>
      </c>
      <c r="AF94" s="1" t="n">
        <f aca="false">FALSE()</f>
        <v>0</v>
      </c>
      <c r="AG94" s="1" t="n">
        <f aca="false">TRUE()</f>
        <v>1</v>
      </c>
      <c r="AH94" s="1" t="n">
        <f aca="false">FALSE()</f>
        <v>0</v>
      </c>
      <c r="AI94" s="1" t="n">
        <f aca="false">TRUE()</f>
        <v>1</v>
      </c>
      <c r="AJ94" s="1" t="n">
        <f aca="false">TRUE()</f>
        <v>1</v>
      </c>
      <c r="AK94" s="1" t="n">
        <f aca="false" t="array" ref="AK94:AK94">SUM(IF(Q94:U94,1,0))</f>
        <v>2</v>
      </c>
      <c r="AL94" s="14" t="n">
        <f aca="false" t="array" ref="AL94:AL94">SUM(IF(V94:Z94,1,0))</f>
        <v>2</v>
      </c>
      <c r="AM94" s="14" t="n">
        <f aca="false" t="array" ref="AM94:AM94">SUM(IF(AA94:AE94,1,0))</f>
        <v>2</v>
      </c>
      <c r="AN94" s="14" t="n">
        <f aca="false" t="array" ref="AN94:AN94">SUM(IF(AF94:AJ94,1,0))</f>
        <v>3</v>
      </c>
      <c r="AO94" s="1" t="n">
        <f aca="false">FALSE()</f>
        <v>0</v>
      </c>
      <c r="AP94" s="1" t="n">
        <f aca="false">IF(O94 = 2,COUNTIF(Q94:AJ94,"TRUE"),-1)</f>
        <v>9</v>
      </c>
    </row>
    <row r="95" customFormat="false" ht="15.75" hidden="false" customHeight="false" outlineLevel="0" collapsed="false">
      <c r="A95" s="8" t="e">
        <f aca="true">INDIRECT("'Ответы на форму (1)'!A"&amp;$N95,TRUE())</f>
        <v>#REF!</v>
      </c>
      <c r="B95" s="0" t="e">
        <f aca="true">INDIRECT("'Ответы на форму (1)'!B"&amp;$N95,TRUE())</f>
        <v>#REF!</v>
      </c>
      <c r="C95" s="0" t="e">
        <f aca="true">INDIRECT("'Ответы на форму (1)'!C"&amp;$N95,TRUE())</f>
        <v>#REF!</v>
      </c>
      <c r="D95" s="0" t="e">
        <f aca="true">INDIRECT("'Ответы на форму (1)'!D"&amp;$N95,TRUE())</f>
        <v>#REF!</v>
      </c>
      <c r="E95" s="0" t="n">
        <f aca="false">IFERROR(__xludf.dummyfunction("iferror(VALUE(REGEXEXTRACT(TEXT(INDIRECT(""'Ответы на форму (1)'!E""&amp;$N95,TRUE),""####""),""[0-9]+"")),IF(IFERROR(SEARCH(""моцро"",INDIRECT(""'Ответы на форму (1)'!E""&amp;$N95,TRUE)),-1) &gt;= 0,117,INDIRECT(""'Ответы на форму (1)'!E""&amp;$N95,TRUE)))"),117)</f>
        <v>117</v>
      </c>
      <c r="F95" s="0" t="e">
        <f aca="true">INDIRECT("'Ответы на форму (1)'!F"&amp;$N95,TRUE())</f>
        <v>#REF!</v>
      </c>
      <c r="G95" s="9" t="e">
        <f aca="true">IFERROR(MID(INDIRECT("'Ответы на форму (1)'!G"&amp;$N95,TRUE()),SEARCH("vk.com",INDIRECT("'Ответы на форму (1)'!G"&amp;$N95,TRUE())),LEN(INDIRECT("'Ответы на форму (1)'!G"&amp;$N95,TRUE()))),INDIRECT("'Ответы на форму (1)'!G"&amp;$N95,TRUE()))</f>
        <v>#REF!</v>
      </c>
      <c r="H95" s="0" t="e">
        <f aca="true">INDIRECT("'Ответы на форму (1)'!H"&amp;$N95,TRUE())</f>
        <v>#REF!</v>
      </c>
      <c r="I95" s="12" t="e">
        <f aca="true">INDIRECT("'Ответы на форму (1)'!I"&amp;$N95,TRUE())</f>
        <v>#REF!</v>
      </c>
      <c r="J95" s="12" t="e">
        <f aca="true">INDIRECT("'Ответы на форму (1)'!J"&amp;$N95,TRUE())</f>
        <v>#REF!</v>
      </c>
      <c r="K95" s="12" t="e">
        <f aca="true">INDIRECT("'Ответы на форму (1)'!K"&amp;$N95,TRUE())</f>
        <v>#REF!</v>
      </c>
      <c r="L95" s="12" t="e">
        <f aca="true">INDIRECT("'Ответы на форму (1)'!L"&amp;$N95,TRUE())</f>
        <v>#REF!</v>
      </c>
      <c r="M95" s="0" t="e">
        <f aca="false" t="array" ref="M95:M95">IF(B95 &lt;&gt; "",IF(COUNTIF(concat(TRIM('Список прошлого года'!$B$2:$B$200),TRIM('Список прошлого года'!$C$2:$C$200)),concat(TRIM(B95),TRIM(C95))) &gt; 0,"Да","Нет"),"")</f>
        <v>#REF!</v>
      </c>
      <c r="N95" s="1" t="n">
        <v>104</v>
      </c>
      <c r="O95" s="1" t="n">
        <v>2</v>
      </c>
      <c r="Q95" s="1" t="n">
        <f aca="false">TRUE()</f>
        <v>1</v>
      </c>
      <c r="R95" s="1" t="n">
        <f aca="false">TRUE()</f>
        <v>1</v>
      </c>
      <c r="S95" s="1" t="n">
        <f aca="false">TRUE()</f>
        <v>1</v>
      </c>
      <c r="T95" s="1" t="n">
        <f aca="false">TRUE()</f>
        <v>1</v>
      </c>
      <c r="U95" s="1" t="n">
        <f aca="false">TRUE()</f>
        <v>1</v>
      </c>
      <c r="V95" s="1" t="n">
        <f aca="false">TRUE()</f>
        <v>1</v>
      </c>
      <c r="W95" s="1" t="n">
        <f aca="false">TRUE()</f>
        <v>1</v>
      </c>
      <c r="X95" s="1" t="n">
        <f aca="false">TRUE()</f>
        <v>1</v>
      </c>
      <c r="Y95" s="1" t="n">
        <f aca="false">TRUE()</f>
        <v>1</v>
      </c>
      <c r="Z95" s="1" t="n">
        <f aca="false">TRUE()</f>
        <v>1</v>
      </c>
      <c r="AA95" s="1" t="n">
        <f aca="false">TRUE()</f>
        <v>1</v>
      </c>
      <c r="AB95" s="1" t="n">
        <f aca="false">TRUE()</f>
        <v>1</v>
      </c>
      <c r="AC95" s="1" t="n">
        <f aca="false">TRUE()</f>
        <v>1</v>
      </c>
      <c r="AD95" s="1" t="n">
        <f aca="false">TRUE()</f>
        <v>1</v>
      </c>
      <c r="AE95" s="1" t="n">
        <f aca="false">TRUE()</f>
        <v>1</v>
      </c>
      <c r="AF95" s="1" t="n">
        <f aca="false">TRUE()</f>
        <v>1</v>
      </c>
      <c r="AG95" s="1" t="n">
        <f aca="false">TRUE()</f>
        <v>1</v>
      </c>
      <c r="AH95" s="1" t="n">
        <f aca="false">TRUE()</f>
        <v>1</v>
      </c>
      <c r="AI95" s="1" t="n">
        <f aca="false">TRUE()</f>
        <v>1</v>
      </c>
      <c r="AJ95" s="1" t="n">
        <f aca="false">TRUE()</f>
        <v>1</v>
      </c>
      <c r="AK95" s="1" t="n">
        <f aca="false" t="array" ref="AK95:AK95">SUM(IF(Q95:U95,1,0))</f>
        <v>5</v>
      </c>
      <c r="AL95" s="14" t="n">
        <f aca="false" t="array" ref="AL95:AL95">SUM(IF(V95:Z95,1,0))</f>
        <v>5</v>
      </c>
      <c r="AM95" s="14" t="n">
        <f aca="false" t="array" ref="AM95:AM95">SUM(IF(AA95:AE95,1,0))</f>
        <v>5</v>
      </c>
      <c r="AN95" s="14" t="n">
        <f aca="false" t="array" ref="AN95:AN95">SUM(IF(AF95:AJ95,1,0))</f>
        <v>5</v>
      </c>
      <c r="AO95" s="1" t="n">
        <f aca="false">FALSE()</f>
        <v>0</v>
      </c>
      <c r="AP95" s="1" t="n">
        <f aca="false">IF(O95 = 2,COUNTIF(Q95:AJ95,"TRUE"),-1)</f>
        <v>20</v>
      </c>
    </row>
    <row r="96" customFormat="false" ht="15.75" hidden="false" customHeight="false" outlineLevel="0" collapsed="false">
      <c r="A96" s="8" t="e">
        <f aca="true">INDIRECT("'Ответы на форму (1)'!A"&amp;$N96,TRUE())</f>
        <v>#REF!</v>
      </c>
      <c r="B96" s="0" t="e">
        <f aca="true">INDIRECT("'Ответы на форму (1)'!B"&amp;$N96,TRUE())</f>
        <v>#REF!</v>
      </c>
      <c r="C96" s="0" t="e">
        <f aca="true">INDIRECT("'Ответы на форму (1)'!C"&amp;$N96,TRUE())</f>
        <v>#REF!</v>
      </c>
      <c r="D96" s="0" t="e">
        <f aca="true">INDIRECT("'Ответы на форму (1)'!D"&amp;$N96,TRUE())</f>
        <v>#REF!</v>
      </c>
      <c r="E96" s="0" t="n">
        <f aca="false">IFERROR(__xludf.dummyfunction("iferror(VALUE(REGEXEXTRACT(TEXT(INDIRECT(""'Ответы на форму (1)'!E""&amp;$N96,TRUE),""####""),""[0-9]+"")),IF(IFERROR(SEARCH(""моцро"",INDIRECT(""'Ответы на форму (1)'!E""&amp;$N96,TRUE)),-1) &gt;= 0,117,INDIRECT(""'Ответы на форму (1)'!E""&amp;$N96,TRUE)))"),117)</f>
        <v>117</v>
      </c>
      <c r="F96" s="0" t="e">
        <f aca="true">INDIRECT("'Ответы на форму (1)'!F"&amp;$N96,TRUE())</f>
        <v>#REF!</v>
      </c>
      <c r="G96" s="9" t="e">
        <f aca="true">IFERROR(MID(INDIRECT("'Ответы на форму (1)'!G"&amp;$N96,TRUE()),SEARCH("vk.com",INDIRECT("'Ответы на форму (1)'!G"&amp;$N96,TRUE())),LEN(INDIRECT("'Ответы на форму (1)'!G"&amp;$N96,TRUE()))),INDIRECT("'Ответы на форму (1)'!G"&amp;$N96,TRUE()))</f>
        <v>#REF!</v>
      </c>
      <c r="H96" s="0" t="e">
        <f aca="true">INDIRECT("'Ответы на форму (1)'!H"&amp;$N96,TRUE())</f>
        <v>#REF!</v>
      </c>
      <c r="I96" s="12" t="e">
        <f aca="true">INDIRECT("'Ответы на форму (1)'!I"&amp;$N96,TRUE())</f>
        <v>#REF!</v>
      </c>
      <c r="J96" s="12" t="e">
        <f aca="true">INDIRECT("'Ответы на форму (1)'!J"&amp;$N96,TRUE())</f>
        <v>#REF!</v>
      </c>
      <c r="K96" s="12" t="e">
        <f aca="true">INDIRECT("'Ответы на форму (1)'!K"&amp;$N96,TRUE())</f>
        <v>#REF!</v>
      </c>
      <c r="L96" s="12" t="e">
        <f aca="true">INDIRECT("'Ответы на форму (1)'!L"&amp;$N96,TRUE())</f>
        <v>#REF!</v>
      </c>
      <c r="M96" s="0" t="e">
        <f aca="false" t="array" ref="M96:M96">IF(B96 &lt;&gt; "",IF(COUNTIF(concat(TRIM('Список прошлого года'!$B$2:$B$200),TRIM('Список прошлого года'!$C$2:$C$200)),concat(TRIM(B96),TRIM(C96))) &gt; 0,"Да","Нет"),"")</f>
        <v>#REF!</v>
      </c>
      <c r="N96" s="1" t="n">
        <v>105</v>
      </c>
      <c r="O96" s="1" t="n">
        <v>2</v>
      </c>
      <c r="Q96" s="1" t="n">
        <f aca="false">TRUE()</f>
        <v>1</v>
      </c>
      <c r="R96" s="1" t="n">
        <f aca="false">TRUE()</f>
        <v>1</v>
      </c>
      <c r="S96" s="1" t="n">
        <f aca="false">TRUE()</f>
        <v>1</v>
      </c>
      <c r="T96" s="1" t="n">
        <f aca="false">TRUE()</f>
        <v>1</v>
      </c>
      <c r="U96" s="1" t="n">
        <f aca="false">TRUE()</f>
        <v>1</v>
      </c>
      <c r="V96" s="1" t="n">
        <f aca="false">TRUE()</f>
        <v>1</v>
      </c>
      <c r="W96" s="1" t="n">
        <f aca="false">TRUE()</f>
        <v>1</v>
      </c>
      <c r="X96" s="1" t="n">
        <f aca="false">TRUE()</f>
        <v>1</v>
      </c>
      <c r="Y96" s="1" t="n">
        <f aca="false">TRUE()</f>
        <v>1</v>
      </c>
      <c r="Z96" s="1" t="n">
        <f aca="false">TRUE()</f>
        <v>1</v>
      </c>
      <c r="AA96" s="1" t="n">
        <f aca="false">TRUE()</f>
        <v>1</v>
      </c>
      <c r="AB96" s="1" t="n">
        <f aca="false">TRUE()</f>
        <v>1</v>
      </c>
      <c r="AC96" s="1" t="n">
        <f aca="false">TRUE()</f>
        <v>1</v>
      </c>
      <c r="AD96" s="1" t="n">
        <f aca="false">TRUE()</f>
        <v>1</v>
      </c>
      <c r="AE96" s="1" t="n">
        <f aca="false">TRUE()</f>
        <v>1</v>
      </c>
      <c r="AF96" s="1" t="n">
        <f aca="false">TRUE()</f>
        <v>1</v>
      </c>
      <c r="AG96" s="1" t="n">
        <f aca="false">TRUE()</f>
        <v>1</v>
      </c>
      <c r="AH96" s="1" t="n">
        <f aca="false">TRUE()</f>
        <v>1</v>
      </c>
      <c r="AI96" s="1" t="n">
        <f aca="false">FALSE()</f>
        <v>0</v>
      </c>
      <c r="AJ96" s="1" t="n">
        <f aca="false">FALSE()</f>
        <v>0</v>
      </c>
      <c r="AK96" s="1" t="n">
        <f aca="false" t="array" ref="AK96:AK96">SUM(IF(Q96:U96,1,0))</f>
        <v>5</v>
      </c>
      <c r="AL96" s="14" t="n">
        <f aca="false" t="array" ref="AL96:AL96">SUM(IF(V96:Z96,1,0))</f>
        <v>5</v>
      </c>
      <c r="AM96" s="14" t="n">
        <f aca="false" t="array" ref="AM96:AM96">SUM(IF(AA96:AE96,1,0))</f>
        <v>5</v>
      </c>
      <c r="AN96" s="14" t="n">
        <f aca="false" t="array" ref="AN96:AN96">SUM(IF(AF96:AJ96,1,0))</f>
        <v>3</v>
      </c>
      <c r="AO96" s="1" t="n">
        <f aca="false">FALSE()</f>
        <v>0</v>
      </c>
      <c r="AP96" s="1" t="n">
        <f aca="false">IF(O96 = 2,COUNTIF(Q96:AJ96,"TRUE"),-1)</f>
        <v>18</v>
      </c>
    </row>
    <row r="97" customFormat="false" ht="15.75" hidden="false" customHeight="false" outlineLevel="0" collapsed="false">
      <c r="A97" s="15" t="e">
        <f aca="true">INDIRECT("'Ответы на форму (1)'!A"&amp;$N97,TRUE())</f>
        <v>#REF!</v>
      </c>
      <c r="B97" s="16" t="e">
        <f aca="true">INDIRECT("'Ответы на форму (1)'!B"&amp;$N97,TRUE())</f>
        <v>#REF!</v>
      </c>
      <c r="C97" s="16" t="e">
        <f aca="true">INDIRECT("'Ответы на форму (1)'!C"&amp;$N97,TRUE())</f>
        <v>#REF!</v>
      </c>
      <c r="D97" s="16" t="e">
        <f aca="true">INDIRECT("'Ответы на форму (1)'!D"&amp;$N97,TRUE())</f>
        <v>#REF!</v>
      </c>
      <c r="E97" s="16" t="n">
        <f aca="false">IFERROR(__xludf.dummyfunction("iferror(VALUE(REGEXEXTRACT(TEXT(INDIRECT(""'Ответы на форму (1)'!E""&amp;$N97,TRUE),""####""),""[0-9]+"")),IF(IFERROR(SEARCH(""моцро"",INDIRECT(""'Ответы на форму (1)'!E""&amp;$N97,TRUE)),-1) &gt;= 0,117,INDIRECT(""'Ответы на форму (1)'!E""&amp;$N97,TRUE)))"),117)</f>
        <v>117</v>
      </c>
      <c r="F97" s="16" t="e">
        <f aca="true">INDIRECT("'Ответы на форму (1)'!F"&amp;$N97,TRUE())</f>
        <v>#REF!</v>
      </c>
      <c r="G97" s="17" t="e">
        <f aca="true">IFERROR(MID(INDIRECT("'Ответы на форму (1)'!G"&amp;$N97,TRUE()),SEARCH("vk.com",INDIRECT("'Ответы на форму (1)'!G"&amp;$N97,TRUE())),LEN(INDIRECT("'Ответы на форму (1)'!G"&amp;$N97,TRUE()))),INDIRECT("'Ответы на форму (1)'!G"&amp;$N97,TRUE()))</f>
        <v>#REF!</v>
      </c>
      <c r="H97" s="16" t="e">
        <f aca="true">INDIRECT("'Ответы на форму (1)'!H"&amp;$N97,TRUE())</f>
        <v>#REF!</v>
      </c>
      <c r="I97" s="16" t="e">
        <f aca="true">INDIRECT("'Ответы на форму (1)'!I"&amp;$N97,TRUE())</f>
        <v>#REF!</v>
      </c>
      <c r="J97" s="16" t="e">
        <f aca="true">INDIRECT("'Ответы на форму (1)'!J"&amp;$N97,TRUE())</f>
        <v>#REF!</v>
      </c>
      <c r="K97" s="16" t="e">
        <f aca="true">INDIRECT("'Ответы на форму (1)'!K"&amp;$N97,TRUE())</f>
        <v>#REF!</v>
      </c>
      <c r="L97" s="16" t="e">
        <f aca="true">INDIRECT("'Ответы на форму (1)'!L"&amp;$N97,TRUE())</f>
        <v>#REF!</v>
      </c>
      <c r="M97" s="16" t="e">
        <f aca="false" t="array" ref="M97:M97">IF(B97 &lt;&gt; "",IF(COUNTIF(concat(TRIM('Список прошлого года'!$B$2:$B$200),TRIM('Список прошлого года'!$C$2:$C$200)),concat(TRIM(B97),TRIM(C97))) &gt; 0,"Да","Нет"),"")</f>
        <v>#REF!</v>
      </c>
      <c r="N97" s="19" t="n">
        <v>107</v>
      </c>
      <c r="O97" s="19" t="n">
        <v>2</v>
      </c>
      <c r="P97" s="16"/>
      <c r="Q97" s="19" t="n">
        <f aca="false">TRUE()</f>
        <v>1</v>
      </c>
      <c r="R97" s="19" t="n">
        <f aca="false">FALSE()</f>
        <v>0</v>
      </c>
      <c r="S97" s="19" t="n">
        <f aca="false">FALSE()</f>
        <v>0</v>
      </c>
      <c r="T97" s="19" t="n">
        <f aca="false">TRUE()</f>
        <v>1</v>
      </c>
      <c r="U97" s="19" t="n">
        <f aca="false">FALSE()</f>
        <v>0</v>
      </c>
      <c r="V97" s="19" t="n">
        <f aca="false">TRUE()</f>
        <v>1</v>
      </c>
      <c r="W97" s="19" t="n">
        <f aca="false">TRUE()</f>
        <v>1</v>
      </c>
      <c r="X97" s="19" t="n">
        <f aca="false">FALSE()</f>
        <v>0</v>
      </c>
      <c r="Y97" s="19" t="n">
        <f aca="false">TRUE()</f>
        <v>1</v>
      </c>
      <c r="Z97" s="19" t="n">
        <f aca="false">TRUE()</f>
        <v>1</v>
      </c>
      <c r="AA97" s="19" t="n">
        <f aca="false">TRUE()</f>
        <v>1</v>
      </c>
      <c r="AB97" s="19" t="n">
        <f aca="false">TRUE()</f>
        <v>1</v>
      </c>
      <c r="AC97" s="19" t="n">
        <f aca="false">TRUE()</f>
        <v>1</v>
      </c>
      <c r="AD97" s="19" t="n">
        <f aca="false">TRUE()</f>
        <v>1</v>
      </c>
      <c r="AE97" s="19" t="n">
        <f aca="false">FALSE()</f>
        <v>0</v>
      </c>
      <c r="AF97" s="19" t="n">
        <f aca="false">TRUE()</f>
        <v>1</v>
      </c>
      <c r="AG97" s="19" t="n">
        <f aca="false">TRUE()</f>
        <v>1</v>
      </c>
      <c r="AH97" s="19" t="n">
        <f aca="false">TRUE()</f>
        <v>1</v>
      </c>
      <c r="AI97" s="19" t="n">
        <f aca="false">TRUE()</f>
        <v>1</v>
      </c>
      <c r="AJ97" s="19" t="n">
        <f aca="false">TRUE()</f>
        <v>1</v>
      </c>
      <c r="AK97" s="19" t="n">
        <f aca="false" t="array" ref="AK97:AK97">SUM(IF(Q97:U97,1,0))</f>
        <v>2</v>
      </c>
      <c r="AL97" s="20" t="n">
        <f aca="false" t="array" ref="AL97:AL97">SUM(IF(V97:Z97,1,0))</f>
        <v>4</v>
      </c>
      <c r="AM97" s="20" t="n">
        <f aca="false" t="array" ref="AM97:AM97">SUM(IF(AA97:AE97,1,0))</f>
        <v>4</v>
      </c>
      <c r="AN97" s="20" t="n">
        <f aca="false" t="array" ref="AN97:AN97">SUM(IF(AF97:AJ97,1,0))</f>
        <v>5</v>
      </c>
      <c r="AO97" s="19" t="n">
        <f aca="false">TRUE()</f>
        <v>1</v>
      </c>
      <c r="AP97" s="1" t="n">
        <f aca="false">IF(O97 = 2,COUNTIF(Q97:AJ97,"TRUE"),-1)</f>
        <v>15</v>
      </c>
    </row>
    <row r="98" customFormat="false" ht="15.75" hidden="false" customHeight="false" outlineLevel="0" collapsed="false">
      <c r="A98" s="15" t="e">
        <f aca="true">INDIRECT("'Ответы на форму (1)'!A"&amp;$N98,TRUE())</f>
        <v>#REF!</v>
      </c>
      <c r="B98" s="16" t="e">
        <f aca="true">INDIRECT("'Ответы на форму (1)'!B"&amp;$N98,TRUE())</f>
        <v>#REF!</v>
      </c>
      <c r="C98" s="16" t="e">
        <f aca="true">INDIRECT("'Ответы на форму (1)'!C"&amp;$N98,TRUE())</f>
        <v>#REF!</v>
      </c>
      <c r="D98" s="16" t="e">
        <f aca="true">INDIRECT("'Ответы на форму (1)'!D"&amp;$N98,TRUE())</f>
        <v>#REF!</v>
      </c>
      <c r="E98" s="16" t="n">
        <f aca="false">IFERROR(__xludf.dummyfunction("iferror(VALUE(REGEXEXTRACT(TEXT(INDIRECT(""'Ответы на форму (1)'!E""&amp;$N98,TRUE),""####""),""[0-9]+"")),IF(IFERROR(SEARCH(""моцро"",INDIRECT(""'Ответы на форму (1)'!E""&amp;$N98,TRUE)),-1) &gt;= 0,117,INDIRECT(""'Ответы на форму (1)'!E""&amp;$N98,TRUE)))"),117)</f>
        <v>117</v>
      </c>
      <c r="F98" s="16" t="e">
        <f aca="true">INDIRECT("'Ответы на форму (1)'!F"&amp;$N98,TRUE())</f>
        <v>#REF!</v>
      </c>
      <c r="G98" s="17" t="e">
        <f aca="true">IFERROR(MID(INDIRECT("'Ответы на форму (1)'!G"&amp;$N98,TRUE()),SEARCH("vk.com",INDIRECT("'Ответы на форму (1)'!G"&amp;$N98,TRUE())),LEN(INDIRECT("'Ответы на форму (1)'!G"&amp;$N98,TRUE()))),INDIRECT("'Ответы на форму (1)'!G"&amp;$N98,TRUE()))</f>
        <v>#REF!</v>
      </c>
      <c r="H98" s="16" t="e">
        <f aca="true">INDIRECT("'Ответы на форму (1)'!H"&amp;$N98,TRUE())</f>
        <v>#REF!</v>
      </c>
      <c r="I98" s="16" t="e">
        <f aca="true">INDIRECT("'Ответы на форму (1)'!I"&amp;$N98,TRUE())</f>
        <v>#REF!</v>
      </c>
      <c r="J98" s="16" t="e">
        <f aca="true">INDIRECT("'Ответы на форму (1)'!J"&amp;$N98,TRUE())</f>
        <v>#REF!</v>
      </c>
      <c r="K98" s="16" t="e">
        <f aca="true">INDIRECT("'Ответы на форму (1)'!K"&amp;$N98,TRUE())</f>
        <v>#REF!</v>
      </c>
      <c r="L98" s="16" t="e">
        <f aca="true">INDIRECT("'Ответы на форму (1)'!L"&amp;$N98,TRUE())</f>
        <v>#REF!</v>
      </c>
      <c r="M98" s="16" t="e">
        <f aca="false" t="array" ref="M98:M98">IF(B98 &lt;&gt; "",IF(COUNTIF(concat(TRIM('Список прошлого года'!$B$2:$B$200),TRIM('Список прошлого года'!$C$2:$C$200)),concat(TRIM(B98),TRIM(C98))) &gt; 0,"Да","Нет"),"")</f>
        <v>#REF!</v>
      </c>
      <c r="N98" s="19" t="n">
        <v>108</v>
      </c>
      <c r="O98" s="19" t="n">
        <v>2</v>
      </c>
      <c r="P98" s="16"/>
      <c r="Q98" s="19" t="n">
        <f aca="false">TRUE()</f>
        <v>1</v>
      </c>
      <c r="R98" s="19" t="n">
        <f aca="false">TRUE()</f>
        <v>1</v>
      </c>
      <c r="S98" s="19" t="n">
        <f aca="false">TRUE()</f>
        <v>1</v>
      </c>
      <c r="T98" s="19" t="n">
        <f aca="false">TRUE()</f>
        <v>1</v>
      </c>
      <c r="U98" s="19" t="n">
        <f aca="false">TRUE()</f>
        <v>1</v>
      </c>
      <c r="V98" s="19" t="n">
        <f aca="false">TRUE()</f>
        <v>1</v>
      </c>
      <c r="W98" s="19" t="n">
        <f aca="false">TRUE()</f>
        <v>1</v>
      </c>
      <c r="X98" s="19" t="n">
        <f aca="false">TRUE()</f>
        <v>1</v>
      </c>
      <c r="Y98" s="19" t="n">
        <f aca="false">TRUE()</f>
        <v>1</v>
      </c>
      <c r="Z98" s="19" t="n">
        <f aca="false">TRUE()</f>
        <v>1</v>
      </c>
      <c r="AA98" s="19" t="n">
        <f aca="false">TRUE()</f>
        <v>1</v>
      </c>
      <c r="AB98" s="19" t="n">
        <f aca="false">TRUE()</f>
        <v>1</v>
      </c>
      <c r="AC98" s="19" t="n">
        <f aca="false">TRUE()</f>
        <v>1</v>
      </c>
      <c r="AD98" s="19" t="n">
        <f aca="false">TRUE()</f>
        <v>1</v>
      </c>
      <c r="AE98" s="19" t="n">
        <f aca="false">TRUE()</f>
        <v>1</v>
      </c>
      <c r="AF98" s="19" t="n">
        <f aca="false">TRUE()</f>
        <v>1</v>
      </c>
      <c r="AG98" s="19" t="n">
        <f aca="false">TRUE()</f>
        <v>1</v>
      </c>
      <c r="AH98" s="19" t="n">
        <f aca="false">TRUE()</f>
        <v>1</v>
      </c>
      <c r="AI98" s="19" t="n">
        <f aca="false">FALSE()</f>
        <v>0</v>
      </c>
      <c r="AJ98" s="19" t="n">
        <f aca="false">FALSE()</f>
        <v>0</v>
      </c>
      <c r="AK98" s="19" t="n">
        <f aca="false" t="array" ref="AK98:AK98">SUM(IF(Q98:U98,1,0))</f>
        <v>5</v>
      </c>
      <c r="AL98" s="20" t="n">
        <f aca="false" t="array" ref="AL98:AL98">SUM(IF(V98:Z98,1,0))</f>
        <v>5</v>
      </c>
      <c r="AM98" s="20" t="n">
        <f aca="false" t="array" ref="AM98:AM98">SUM(IF(AA98:AE98,1,0))</f>
        <v>5</v>
      </c>
      <c r="AN98" s="20" t="n">
        <f aca="false" t="array" ref="AN98:AN98">SUM(IF(AF98:AJ98,1,0))</f>
        <v>3</v>
      </c>
      <c r="AO98" s="19" t="n">
        <f aca="false">TRUE()</f>
        <v>1</v>
      </c>
      <c r="AP98" s="1" t="n">
        <f aca="false">IF(O98 = 2,COUNTIF(Q98:AJ98,"TRUE"),-1)</f>
        <v>18</v>
      </c>
    </row>
    <row r="99" customFormat="false" ht="15.75" hidden="false" customHeight="false" outlineLevel="0" collapsed="false">
      <c r="A99" s="8" t="e">
        <f aca="true">INDIRECT("'Ответы на форму (1)'!A"&amp;$N99,TRUE())</f>
        <v>#REF!</v>
      </c>
      <c r="B99" s="0" t="e">
        <f aca="true">INDIRECT("'Ответы на форму (1)'!B"&amp;$N99,TRUE())</f>
        <v>#REF!</v>
      </c>
      <c r="C99" s="0" t="e">
        <f aca="true">INDIRECT("'Ответы на форму (1)'!C"&amp;$N99,TRUE())</f>
        <v>#REF!</v>
      </c>
      <c r="D99" s="0" t="e">
        <f aca="true">INDIRECT("'Ответы на форму (1)'!D"&amp;$N99,TRUE())</f>
        <v>#REF!</v>
      </c>
      <c r="E99" s="0" t="str">
        <f aca="false">IFERROR(__xludf.dummyfunction("iferror(VALUE(REGEXEXTRACT(TEXT(INDIRECT(""'Ответы на форму (1)'!E""&amp;$N99,TRUE),""####""),""[0-9]+"")),IF(IFERROR(SEARCH(""моцро"",INDIRECT(""'Ответы на форму (1)'!E""&amp;$N99,TRUE)),-1) &gt;= 0,117,INDIRECT(""'Ответы на форму (1)'!E""&amp;$N99,TRUE)))"),"СУНЦ МГУ")</f>
        <v>СУНЦ МГУ</v>
      </c>
      <c r="F99" s="0" t="e">
        <f aca="true">INDIRECT("'Ответы на форму (1)'!F"&amp;$N99,TRUE())</f>
        <v>#REF!</v>
      </c>
      <c r="G99" s="9" t="e">
        <f aca="true">IFERROR(MID(INDIRECT("'Ответы на форму (1)'!G"&amp;$N99,TRUE()),SEARCH("vk.com",INDIRECT("'Ответы на форму (1)'!G"&amp;$N99,TRUE())),LEN(INDIRECT("'Ответы на форму (1)'!G"&amp;$N99,TRUE()))),INDIRECT("'Ответы на форму (1)'!G"&amp;$N99,TRUE()))</f>
        <v>#REF!</v>
      </c>
      <c r="H99" s="0" t="e">
        <f aca="true">INDIRECT("'Ответы на форму (1)'!H"&amp;$N99,TRUE())</f>
        <v>#REF!</v>
      </c>
      <c r="I99" s="12" t="e">
        <f aca="true">INDIRECT("'Ответы на форму (1)'!I"&amp;$N99,TRUE())</f>
        <v>#REF!</v>
      </c>
      <c r="J99" s="12" t="e">
        <f aca="true">INDIRECT("'Ответы на форму (1)'!J"&amp;$N99,TRUE())</f>
        <v>#REF!</v>
      </c>
      <c r="K99" s="12" t="e">
        <f aca="true">INDIRECT("'Ответы на форму (1)'!K"&amp;$N99,TRUE())</f>
        <v>#REF!</v>
      </c>
      <c r="L99" s="12" t="e">
        <f aca="true">INDIRECT("'Ответы на форму (1)'!L"&amp;$N99,TRUE())</f>
        <v>#REF!</v>
      </c>
      <c r="M99" s="0" t="e">
        <f aca="false" t="array" ref="M99:M99">IF(B99 &lt;&gt; "",IF(COUNTIF(concat(TRIM('Список прошлого года'!$B$2:$B$200),TRIM('Список прошлого года'!$C$2:$C$200)),concat(TRIM(B99),TRIM(C99))) &gt; 0,"Да","Нет"),"")</f>
        <v>#REF!</v>
      </c>
      <c r="N99" s="1" t="n">
        <v>109</v>
      </c>
      <c r="O99" s="1" t="n">
        <v>2</v>
      </c>
      <c r="Q99" s="1" t="n">
        <f aca="false">FALSE()</f>
        <v>0</v>
      </c>
      <c r="R99" s="1" t="n">
        <f aca="false">FALSE()</f>
        <v>0</v>
      </c>
      <c r="S99" s="1" t="n">
        <f aca="false">FALSE()</f>
        <v>0</v>
      </c>
      <c r="T99" s="1" t="n">
        <f aca="false">FALSE()</f>
        <v>0</v>
      </c>
      <c r="U99" s="1" t="n">
        <f aca="false">FALSE()</f>
        <v>0</v>
      </c>
      <c r="V99" s="1" t="n">
        <f aca="false">TRUE()</f>
        <v>1</v>
      </c>
      <c r="W99" s="1" t="n">
        <f aca="false">FALSE()</f>
        <v>0</v>
      </c>
      <c r="X99" s="1" t="n">
        <f aca="false">TRUE()</f>
        <v>1</v>
      </c>
      <c r="Y99" s="1" t="n">
        <f aca="false">TRUE()</f>
        <v>1</v>
      </c>
      <c r="Z99" s="1" t="n">
        <f aca="false">FALSE()</f>
        <v>0</v>
      </c>
      <c r="AA99" s="1" t="n">
        <f aca="false">FALSE()</f>
        <v>0</v>
      </c>
      <c r="AB99" s="1" t="n">
        <f aca="false">FALSE()</f>
        <v>0</v>
      </c>
      <c r="AC99" s="1" t="n">
        <f aca="false">FALSE()</f>
        <v>0</v>
      </c>
      <c r="AD99" s="1" t="n">
        <f aca="false">FALSE()</f>
        <v>0</v>
      </c>
      <c r="AE99" s="1" t="n">
        <f aca="false">FALSE()</f>
        <v>0</v>
      </c>
      <c r="AF99" s="1" t="n">
        <f aca="false">FALSE()</f>
        <v>0</v>
      </c>
      <c r="AG99" s="1" t="n">
        <f aca="false">FALSE()</f>
        <v>0</v>
      </c>
      <c r="AH99" s="1" t="n">
        <f aca="false">FALSE()</f>
        <v>0</v>
      </c>
      <c r="AI99" s="1" t="n">
        <f aca="false">FALSE()</f>
        <v>0</v>
      </c>
      <c r="AJ99" s="1" t="n">
        <f aca="false">FALSE()</f>
        <v>0</v>
      </c>
      <c r="AK99" s="1" t="n">
        <f aca="false" t="array" ref="AK99:AK99">SUM(IF(Q99:U99,1,0))</f>
        <v>0</v>
      </c>
      <c r="AL99" s="14" t="n">
        <f aca="false" t="array" ref="AL99:AL99">SUM(IF(V99:Z99,1,0))</f>
        <v>3</v>
      </c>
      <c r="AM99" s="14" t="n">
        <f aca="false" t="array" ref="AM99:AM99">SUM(IF(AA99:AE99,1,0))</f>
        <v>0</v>
      </c>
      <c r="AN99" s="14" t="n">
        <f aca="false" t="array" ref="AN99:AN99">SUM(IF(AF99:AJ99,1,0))</f>
        <v>0</v>
      </c>
      <c r="AO99" s="1" t="n">
        <f aca="false">FALSE()</f>
        <v>0</v>
      </c>
      <c r="AP99" s="1" t="n">
        <f aca="false">IF(O99 = 2,COUNTIF(Q99:AJ99,"TRUE"),-1)</f>
        <v>3</v>
      </c>
    </row>
    <row r="100" customFormat="false" ht="15.75" hidden="false" customHeight="false" outlineLevel="0" collapsed="false">
      <c r="A100" s="15" t="e">
        <f aca="true">INDIRECT("'Ответы на форму (1)'!A"&amp;$N100,TRUE())</f>
        <v>#REF!</v>
      </c>
      <c r="B100" s="16" t="e">
        <f aca="true">INDIRECT("'Ответы на форму (1)'!B"&amp;$N100,TRUE())</f>
        <v>#REF!</v>
      </c>
      <c r="C100" s="16" t="e">
        <f aca="true">INDIRECT("'Ответы на форму (1)'!C"&amp;$N100,TRUE())</f>
        <v>#REF!</v>
      </c>
      <c r="D100" s="16" t="e">
        <f aca="true">INDIRECT("'Ответы на форму (1)'!D"&amp;$N100,TRUE())</f>
        <v>#REF!</v>
      </c>
      <c r="E100" s="16" t="n">
        <f aca="false">IFERROR(__xludf.dummyfunction("iferror(VALUE(REGEXEXTRACT(TEXT(INDIRECT(""'Ответы на форму (1)'!E""&amp;$N100,TRUE),""####""),""[0-9]+"")),IF(IFERROR(SEARCH(""моцро"",INDIRECT(""'Ответы на форму (1)'!E""&amp;$N100,TRUE)),-1) &gt;= 0,117,INDIRECT(""'Ответы на форму (1)'!E""&amp;$N100,TRUE)))"),137)</f>
        <v>137</v>
      </c>
      <c r="F100" s="16" t="e">
        <f aca="true">INDIRECT("'Ответы на форму (1)'!F"&amp;$N100,TRUE())</f>
        <v>#REF!</v>
      </c>
      <c r="G100" s="17" t="e">
        <f aca="true">IFERROR(MID(INDIRECT("'Ответы на форму (1)'!G"&amp;$N100,TRUE()),SEARCH("vk.com",INDIRECT("'Ответы на форму (1)'!G"&amp;$N100,TRUE())),LEN(INDIRECT("'Ответы на форму (1)'!G"&amp;$N100,TRUE()))),INDIRECT("'Ответы на форму (1)'!G"&amp;$N100,TRUE()))</f>
        <v>#REF!</v>
      </c>
      <c r="H100" s="16" t="e">
        <f aca="true">INDIRECT("'Ответы на форму (1)'!H"&amp;$N100,TRUE())</f>
        <v>#REF!</v>
      </c>
      <c r="I100" s="16" t="e">
        <f aca="true">INDIRECT("'Ответы на форму (1)'!I"&amp;$N100,TRUE())</f>
        <v>#REF!</v>
      </c>
      <c r="J100" s="16" t="e">
        <f aca="true">INDIRECT("'Ответы на форму (1)'!J"&amp;$N100,TRUE())</f>
        <v>#REF!</v>
      </c>
      <c r="K100" s="16" t="e">
        <f aca="true">INDIRECT("'Ответы на форму (1)'!K"&amp;$N100,TRUE())</f>
        <v>#REF!</v>
      </c>
      <c r="L100" s="16" t="e">
        <f aca="true">INDIRECT("'Ответы на форму (1)'!L"&amp;$N100,TRUE())</f>
        <v>#REF!</v>
      </c>
      <c r="M100" s="16" t="e">
        <f aca="false" t="array" ref="M100:M100">IF(B100 &lt;&gt; "",IF(COUNTIF(concat(TRIM('Список прошлого года'!$B$2:$B$200),TRIM('Список прошлого года'!$C$2:$C$200)),concat(TRIM(B100),TRIM(C100))) &gt; 0,"Да","Нет"),"")</f>
        <v>#REF!</v>
      </c>
      <c r="N100" s="19" t="n">
        <v>110</v>
      </c>
      <c r="O100" s="19" t="n">
        <v>2</v>
      </c>
      <c r="P100" s="16"/>
      <c r="Q100" s="19" t="n">
        <f aca="false">TRUE()</f>
        <v>1</v>
      </c>
      <c r="R100" s="19" t="n">
        <f aca="false">TRUE()</f>
        <v>1</v>
      </c>
      <c r="S100" s="19" t="n">
        <f aca="false">TRUE()</f>
        <v>1</v>
      </c>
      <c r="T100" s="19" t="n">
        <f aca="false">TRUE()</f>
        <v>1</v>
      </c>
      <c r="U100" s="19" t="n">
        <f aca="false">TRUE()</f>
        <v>1</v>
      </c>
      <c r="V100" s="19" t="n">
        <f aca="false">TRUE()</f>
        <v>1</v>
      </c>
      <c r="W100" s="19" t="n">
        <f aca="false">TRUE()</f>
        <v>1</v>
      </c>
      <c r="X100" s="19" t="n">
        <f aca="false">TRUE()</f>
        <v>1</v>
      </c>
      <c r="Y100" s="19" t="n">
        <f aca="false">TRUE()</f>
        <v>1</v>
      </c>
      <c r="Z100" s="19" t="n">
        <f aca="false">TRUE()</f>
        <v>1</v>
      </c>
      <c r="AA100" s="19" t="n">
        <f aca="false">TRUE()</f>
        <v>1</v>
      </c>
      <c r="AB100" s="19" t="n">
        <f aca="false">TRUE()</f>
        <v>1</v>
      </c>
      <c r="AC100" s="19" t="n">
        <f aca="false">TRUE()</f>
        <v>1</v>
      </c>
      <c r="AD100" s="19" t="n">
        <f aca="false">TRUE()</f>
        <v>1</v>
      </c>
      <c r="AE100" s="19" t="n">
        <f aca="false">FALSE()</f>
        <v>0</v>
      </c>
      <c r="AF100" s="19" t="n">
        <f aca="false">TRUE()</f>
        <v>1</v>
      </c>
      <c r="AG100" s="19" t="n">
        <f aca="false">TRUE()</f>
        <v>1</v>
      </c>
      <c r="AH100" s="19" t="n">
        <f aca="false">TRUE()</f>
        <v>1</v>
      </c>
      <c r="AI100" s="19" t="n">
        <f aca="false">TRUE()</f>
        <v>1</v>
      </c>
      <c r="AJ100" s="19" t="n">
        <f aca="false">TRUE()</f>
        <v>1</v>
      </c>
      <c r="AK100" s="19" t="n">
        <f aca="false" t="array" ref="AK100:AK100">SUM(IF(Q100:U100,1,0))</f>
        <v>5</v>
      </c>
      <c r="AL100" s="20" t="n">
        <f aca="false" t="array" ref="AL100:AL100">SUM(IF(V100:Z100,1,0))</f>
        <v>5</v>
      </c>
      <c r="AM100" s="20" t="n">
        <f aca="false" t="array" ref="AM100:AM100">SUM(IF(AA100:AE100,1,0))</f>
        <v>4</v>
      </c>
      <c r="AN100" s="20" t="n">
        <f aca="false" t="array" ref="AN100:AN100">SUM(IF(AF100:AJ100,1,0))</f>
        <v>5</v>
      </c>
      <c r="AO100" s="19" t="n">
        <f aca="false">TRUE()</f>
        <v>1</v>
      </c>
      <c r="AP100" s="1" t="n">
        <f aca="false">IF(O100 = 2,COUNTIF(Q100:AJ100,"TRUE"),-1)</f>
        <v>19</v>
      </c>
    </row>
    <row r="101" customFormat="false" ht="15.75" hidden="false" customHeight="false" outlineLevel="0" collapsed="false">
      <c r="A101" s="15" t="e">
        <f aca="true">INDIRECT("'Ответы на форму (1)'!A"&amp;$N101,TRUE())</f>
        <v>#REF!</v>
      </c>
      <c r="B101" s="16" t="e">
        <f aca="true">INDIRECT("'Ответы на форму (1)'!B"&amp;$N101,TRUE())</f>
        <v>#REF!</v>
      </c>
      <c r="C101" s="16" t="e">
        <f aca="true">INDIRECT("'Ответы на форму (1)'!C"&amp;$N101,TRUE())</f>
        <v>#REF!</v>
      </c>
      <c r="D101" s="16" t="e">
        <f aca="true">INDIRECT("'Ответы на форму (1)'!D"&amp;$N101,TRUE())</f>
        <v>#REF!</v>
      </c>
      <c r="E101" s="16" t="n">
        <f aca="false">IFERROR(__xludf.dummyfunction("iferror(VALUE(REGEXEXTRACT(TEXT(INDIRECT(""'Ответы на форму (1)'!E""&amp;$N101,TRUE),""####""),""[0-9]+"")),IF(IFERROR(SEARCH(""моцро"",INDIRECT(""'Ответы на форму (1)'!E""&amp;$N101,TRUE)),-1) &gt;= 0,117,INDIRECT(""'Ответы на форму (1)'!E""&amp;$N101,TRUE)))"),137)</f>
        <v>137</v>
      </c>
      <c r="F101" s="16" t="e">
        <f aca="true">INDIRECT("'Ответы на форму (1)'!F"&amp;$N101,TRUE())</f>
        <v>#REF!</v>
      </c>
      <c r="G101" s="17" t="e">
        <f aca="true">IFERROR(MID(INDIRECT("'Ответы на форму (1)'!G"&amp;$N101,TRUE()),SEARCH("vk.com",INDIRECT("'Ответы на форму (1)'!G"&amp;$N101,TRUE())),LEN(INDIRECT("'Ответы на форму (1)'!G"&amp;$N101,TRUE()))),INDIRECT("'Ответы на форму (1)'!G"&amp;$N101,TRUE()))</f>
        <v>#REF!</v>
      </c>
      <c r="H101" s="16" t="e">
        <f aca="true">INDIRECT("'Ответы на форму (1)'!H"&amp;$N101,TRUE())</f>
        <v>#REF!</v>
      </c>
      <c r="I101" s="16" t="e">
        <f aca="true">INDIRECT("'Ответы на форму (1)'!I"&amp;$N101,TRUE())</f>
        <v>#REF!</v>
      </c>
      <c r="J101" s="16" t="e">
        <f aca="true">INDIRECT("'Ответы на форму (1)'!J"&amp;$N101,TRUE())</f>
        <v>#REF!</v>
      </c>
      <c r="K101" s="16" t="e">
        <f aca="true">INDIRECT("'Ответы на форму (1)'!K"&amp;$N101,TRUE())</f>
        <v>#REF!</v>
      </c>
      <c r="L101" s="16" t="e">
        <f aca="true">INDIRECT("'Ответы на форму (1)'!L"&amp;$N101,TRUE())</f>
        <v>#REF!</v>
      </c>
      <c r="M101" s="16" t="e">
        <f aca="false" t="array" ref="M101:M101">IF(B101 &lt;&gt; "",IF(COUNTIF(concat(TRIM('Список прошлого года'!$B$2:$B$200),TRIM('Список прошлого года'!$C$2:$C$200)),concat(TRIM(B101),TRIM(C101))) &gt; 0,"Да","Нет"),"")</f>
        <v>#REF!</v>
      </c>
      <c r="N101" s="19" t="n">
        <v>111</v>
      </c>
      <c r="O101" s="19" t="n">
        <v>2</v>
      </c>
      <c r="P101" s="16"/>
      <c r="Q101" s="19" t="n">
        <f aca="false">TRUE()</f>
        <v>1</v>
      </c>
      <c r="R101" s="19" t="n">
        <f aca="false">TRUE()</f>
        <v>1</v>
      </c>
      <c r="S101" s="19" t="n">
        <f aca="false">TRUE()</f>
        <v>1</v>
      </c>
      <c r="T101" s="19" t="n">
        <f aca="false">TRUE()</f>
        <v>1</v>
      </c>
      <c r="U101" s="19" t="n">
        <f aca="false">TRUE()</f>
        <v>1</v>
      </c>
      <c r="V101" s="19" t="n">
        <f aca="false">TRUE()</f>
        <v>1</v>
      </c>
      <c r="W101" s="19" t="n">
        <f aca="false">TRUE()</f>
        <v>1</v>
      </c>
      <c r="X101" s="19" t="n">
        <f aca="false">TRUE()</f>
        <v>1</v>
      </c>
      <c r="Y101" s="19" t="n">
        <f aca="false">TRUE()</f>
        <v>1</v>
      </c>
      <c r="Z101" s="19" t="n">
        <f aca="false">TRUE()</f>
        <v>1</v>
      </c>
      <c r="AA101" s="19" t="n">
        <f aca="false">TRUE()</f>
        <v>1</v>
      </c>
      <c r="AB101" s="19" t="n">
        <f aca="false">TRUE()</f>
        <v>1</v>
      </c>
      <c r="AC101" s="19" t="n">
        <f aca="false">TRUE()</f>
        <v>1</v>
      </c>
      <c r="AD101" s="19" t="n">
        <f aca="false">TRUE()</f>
        <v>1</v>
      </c>
      <c r="AE101" s="19" t="n">
        <f aca="false">FALSE()</f>
        <v>0</v>
      </c>
      <c r="AF101" s="19" t="n">
        <f aca="false">TRUE()</f>
        <v>1</v>
      </c>
      <c r="AG101" s="19" t="n">
        <f aca="false">TRUE()</f>
        <v>1</v>
      </c>
      <c r="AH101" s="19" t="n">
        <f aca="false">TRUE()</f>
        <v>1</v>
      </c>
      <c r="AI101" s="19" t="n">
        <f aca="false">TRUE()</f>
        <v>1</v>
      </c>
      <c r="AJ101" s="19" t="n">
        <f aca="false">TRUE()</f>
        <v>1</v>
      </c>
      <c r="AK101" s="19" t="n">
        <f aca="false" t="array" ref="AK101:AK101">SUM(IF(Q101:U101,1,0))</f>
        <v>5</v>
      </c>
      <c r="AL101" s="20" t="n">
        <f aca="false" t="array" ref="AL101:AL101">SUM(IF(V101:Z101,1,0))</f>
        <v>5</v>
      </c>
      <c r="AM101" s="20" t="n">
        <f aca="false" t="array" ref="AM101:AM101">SUM(IF(AA101:AE101,1,0))</f>
        <v>4</v>
      </c>
      <c r="AN101" s="20" t="n">
        <f aca="false" t="array" ref="AN101:AN101">SUM(IF(AF101:AJ101,1,0))</f>
        <v>5</v>
      </c>
      <c r="AO101" s="19" t="n">
        <f aca="false">TRUE()</f>
        <v>1</v>
      </c>
      <c r="AP101" s="1" t="n">
        <f aca="false">IF(O101 = 2,COUNTIF(Q101:AJ101,"TRUE"),-1)</f>
        <v>19</v>
      </c>
    </row>
    <row r="102" customFormat="false" ht="15.75" hidden="false" customHeight="false" outlineLevel="0" collapsed="false">
      <c r="A102" s="8" t="e">
        <f aca="true">INDIRECT("'Ответы на форму (1)'!A"&amp;$N102,TRUE())</f>
        <v>#REF!</v>
      </c>
      <c r="B102" s="0" t="e">
        <f aca="true">INDIRECT("'Ответы на форму (1)'!B"&amp;$N102,TRUE())</f>
        <v>#REF!</v>
      </c>
      <c r="C102" s="0" t="e">
        <f aca="true">INDIRECT("'Ответы на форму (1)'!C"&amp;$N102,TRUE())</f>
        <v>#REF!</v>
      </c>
      <c r="D102" s="0" t="e">
        <f aca="true">INDIRECT("'Ответы на форму (1)'!D"&amp;$N102,TRUE())</f>
        <v>#REF!</v>
      </c>
      <c r="E102" s="0" t="n">
        <f aca="false">IFERROR(__xludf.dummyfunction("iferror(VALUE(REGEXEXTRACT(TEXT(INDIRECT(""'Ответы на форму (1)'!E""&amp;$N102,TRUE),""####""),""[0-9]+"")),IF(IFERROR(SEARCH(""моцро"",INDIRECT(""'Ответы на форму (1)'!E""&amp;$N102,TRUE)),-1) &gt;= 0,117,INDIRECT(""'Ответы на форму (1)'!E""&amp;$N102,TRUE)))"),139)</f>
        <v>139</v>
      </c>
      <c r="F102" s="0" t="e">
        <f aca="true">INDIRECT("'Ответы на форму (1)'!F"&amp;$N102,TRUE())</f>
        <v>#REF!</v>
      </c>
      <c r="G102" s="9" t="e">
        <f aca="true">IFERROR(MID(INDIRECT("'Ответы на форму (1)'!G"&amp;$N102,TRUE()),SEARCH("vk.com",INDIRECT("'Ответы на форму (1)'!G"&amp;$N102,TRUE())),LEN(INDIRECT("'Ответы на форму (1)'!G"&amp;$N102,TRUE()))),INDIRECT("'Ответы на форму (1)'!G"&amp;$N102,TRUE()))</f>
        <v>#REF!</v>
      </c>
      <c r="H102" s="0" t="e">
        <f aca="true">INDIRECT("'Ответы на форму (1)'!H"&amp;$N102,TRUE())</f>
        <v>#REF!</v>
      </c>
      <c r="I102" s="12" t="e">
        <f aca="true">INDIRECT("'Ответы на форму (1)'!I"&amp;$N102,TRUE())</f>
        <v>#REF!</v>
      </c>
      <c r="J102" s="12" t="e">
        <f aca="true">INDIRECT("'Ответы на форму (1)'!J"&amp;$N102,TRUE())</f>
        <v>#REF!</v>
      </c>
      <c r="K102" s="12" t="e">
        <f aca="true">INDIRECT("'Ответы на форму (1)'!K"&amp;$N102,TRUE())</f>
        <v>#REF!</v>
      </c>
      <c r="L102" s="12" t="e">
        <f aca="true">INDIRECT("'Ответы на форму (1)'!L"&amp;$N102,TRUE())</f>
        <v>#REF!</v>
      </c>
      <c r="M102" s="0" t="e">
        <f aca="false" t="array" ref="M102:M102">IF(B102 &lt;&gt; "",IF(COUNTIF(concat(TRIM('Список прошлого года'!$B$2:$B$200),TRIM('Список прошлого года'!$C$2:$C$200)),concat(TRIM(B102),TRIM(C102))) &gt; 0,"Да","Нет"),"")</f>
        <v>#REF!</v>
      </c>
      <c r="N102" s="1" t="n">
        <v>112</v>
      </c>
      <c r="O102" s="1" t="n">
        <v>-1</v>
      </c>
      <c r="Q102" s="1" t="n">
        <f aca="false">FALSE()</f>
        <v>0</v>
      </c>
      <c r="R102" s="1" t="n">
        <f aca="false">FALSE()</f>
        <v>0</v>
      </c>
      <c r="S102" s="1" t="n">
        <f aca="false">FALSE()</f>
        <v>0</v>
      </c>
      <c r="T102" s="1" t="n">
        <f aca="false">FALSE()</f>
        <v>0</v>
      </c>
      <c r="U102" s="1" t="n">
        <f aca="false">FALSE()</f>
        <v>0</v>
      </c>
      <c r="V102" s="1" t="n">
        <f aca="false">FALSE()</f>
        <v>0</v>
      </c>
      <c r="W102" s="1" t="n">
        <f aca="false">FALSE()</f>
        <v>0</v>
      </c>
      <c r="X102" s="1" t="n">
        <f aca="false">FALSE()</f>
        <v>0</v>
      </c>
      <c r="Y102" s="1" t="n">
        <f aca="false">FALSE()</f>
        <v>0</v>
      </c>
      <c r="Z102" s="1" t="n">
        <f aca="false">FALSE()</f>
        <v>0</v>
      </c>
      <c r="AA102" s="1" t="n">
        <f aca="false">FALSE()</f>
        <v>0</v>
      </c>
      <c r="AB102" s="1" t="n">
        <f aca="false">FALSE()</f>
        <v>0</v>
      </c>
      <c r="AC102" s="1" t="n">
        <f aca="false">FALSE()</f>
        <v>0</v>
      </c>
      <c r="AD102" s="1" t="n">
        <f aca="false">FALSE()</f>
        <v>0</v>
      </c>
      <c r="AE102" s="1" t="n">
        <f aca="false">FALSE()</f>
        <v>0</v>
      </c>
      <c r="AF102" s="1" t="n">
        <f aca="false">FALSE()</f>
        <v>0</v>
      </c>
      <c r="AG102" s="1" t="n">
        <f aca="false">FALSE()</f>
        <v>0</v>
      </c>
      <c r="AH102" s="1" t="n">
        <f aca="false">FALSE()</f>
        <v>0</v>
      </c>
      <c r="AI102" s="1" t="n">
        <f aca="false">FALSE()</f>
        <v>0</v>
      </c>
      <c r="AJ102" s="1" t="n">
        <f aca="false">FALSE()</f>
        <v>0</v>
      </c>
      <c r="AK102" s="1" t="n">
        <f aca="false" t="array" ref="AK102:AK102">SUM(IF(Q102:U102,1,0))</f>
        <v>0</v>
      </c>
      <c r="AL102" s="14" t="n">
        <f aca="false" t="array" ref="AL102:AL102">SUM(IF(V102:Z102,1,0))</f>
        <v>0</v>
      </c>
      <c r="AM102" s="14" t="n">
        <f aca="false" t="array" ref="AM102:AM102">SUM(IF(AA102:AE102,1,0))</f>
        <v>0</v>
      </c>
      <c r="AN102" s="14" t="n">
        <f aca="false" t="array" ref="AN102:AN102">SUM(IF(AF102:AJ102,1,0))</f>
        <v>0</v>
      </c>
      <c r="AO102" s="1" t="n">
        <f aca="false">FALSE()</f>
        <v>0</v>
      </c>
      <c r="AP102" s="1" t="n">
        <f aca="false">IF(O102 = 2,COUNTIF(Q102:AJ102,"TRUE"),-1)</f>
        <v>-1</v>
      </c>
    </row>
    <row r="103" customFormat="false" ht="15.75" hidden="false" customHeight="false" outlineLevel="0" collapsed="false">
      <c r="A103" s="15" t="e">
        <f aca="true">INDIRECT("'Ответы на форму (1)'!A"&amp;$N103,TRUE())</f>
        <v>#REF!</v>
      </c>
      <c r="B103" s="16" t="e">
        <f aca="true">INDIRECT("'Ответы на форму (1)'!B"&amp;$N103,TRUE())</f>
        <v>#REF!</v>
      </c>
      <c r="C103" s="16" t="e">
        <f aca="true">INDIRECT("'Ответы на форму (1)'!C"&amp;$N103,TRUE())</f>
        <v>#REF!</v>
      </c>
      <c r="D103" s="16" t="e">
        <f aca="true">INDIRECT("'Ответы на форму (1)'!D"&amp;$N103,TRUE())</f>
        <v>#REF!</v>
      </c>
      <c r="E103" s="16" t="n">
        <f aca="false">IFERROR(__xludf.dummyfunction("iferror(VALUE(REGEXEXTRACT(TEXT(INDIRECT(""'Ответы на форму (1)'!E""&amp;$N103,TRUE),""####""),""[0-9]+"")),IF(IFERROR(SEARCH(""моцро"",INDIRECT(""'Ответы на форму (1)'!E""&amp;$N103,TRUE)),-1) &gt;= 0,117,INDIRECT(""'Ответы на форму (1)'!E""&amp;$N103,TRUE)))"),117)</f>
        <v>117</v>
      </c>
      <c r="F103" s="16" t="e">
        <f aca="true">INDIRECT("'Ответы на форму (1)'!F"&amp;$N103,TRUE())</f>
        <v>#REF!</v>
      </c>
      <c r="G103" s="17" t="e">
        <f aca="true">IFERROR(MID(INDIRECT("'Ответы на форму (1)'!G"&amp;$N103,TRUE()),SEARCH("vk.com",INDIRECT("'Ответы на форму (1)'!G"&amp;$N103,TRUE())),LEN(INDIRECT("'Ответы на форму (1)'!G"&amp;$N103,TRUE()))),INDIRECT("'Ответы на форму (1)'!G"&amp;$N103,TRUE()))</f>
        <v>#REF!</v>
      </c>
      <c r="H103" s="16" t="e">
        <f aca="true">INDIRECT("'Ответы на форму (1)'!H"&amp;$N103,TRUE())</f>
        <v>#REF!</v>
      </c>
      <c r="I103" s="16" t="e">
        <f aca="true">INDIRECT("'Ответы на форму (1)'!I"&amp;$N103,TRUE())</f>
        <v>#REF!</v>
      </c>
      <c r="J103" s="16" t="e">
        <f aca="true">INDIRECT("'Ответы на форму (1)'!J"&amp;$N103,TRUE())</f>
        <v>#REF!</v>
      </c>
      <c r="K103" s="16" t="e">
        <f aca="true">INDIRECT("'Ответы на форму (1)'!K"&amp;$N103,TRUE())</f>
        <v>#REF!</v>
      </c>
      <c r="L103" s="16" t="e">
        <f aca="true">INDIRECT("'Ответы на форму (1)'!L"&amp;$N103,TRUE())</f>
        <v>#REF!</v>
      </c>
      <c r="M103" s="16" t="e">
        <f aca="false" t="array" ref="M103:M103">IF(B103 &lt;&gt; "",IF(COUNTIF(concat(TRIM('Список прошлого года'!$B$2:$B$200),TRIM('Список прошлого года'!$C$2:$C$200)),concat(TRIM(B103),TRIM(C103))) &gt; 0,"Да","Нет"),"")</f>
        <v>#REF!</v>
      </c>
      <c r="N103" s="19" t="n">
        <v>113</v>
      </c>
      <c r="O103" s="19" t="n">
        <v>2</v>
      </c>
      <c r="P103" s="16"/>
      <c r="Q103" s="19" t="n">
        <f aca="false">TRUE()</f>
        <v>1</v>
      </c>
      <c r="R103" s="19" t="n">
        <f aca="false">TRUE()</f>
        <v>1</v>
      </c>
      <c r="S103" s="19" t="n">
        <f aca="false">TRUE()</f>
        <v>1</v>
      </c>
      <c r="T103" s="19" t="n">
        <f aca="false">TRUE()</f>
        <v>1</v>
      </c>
      <c r="U103" s="19" t="n">
        <f aca="false">FALSE()</f>
        <v>0</v>
      </c>
      <c r="V103" s="19" t="n">
        <f aca="false">FALSE()</f>
        <v>0</v>
      </c>
      <c r="W103" s="19" t="n">
        <f aca="false">TRUE()</f>
        <v>1</v>
      </c>
      <c r="X103" s="19" t="n">
        <f aca="false">FALSE()</f>
        <v>0</v>
      </c>
      <c r="Y103" s="19" t="n">
        <f aca="false">FALSE()</f>
        <v>0</v>
      </c>
      <c r="Z103" s="19" t="n">
        <f aca="false">FALSE()</f>
        <v>0</v>
      </c>
      <c r="AA103" s="19" t="n">
        <f aca="false">FALSE()</f>
        <v>0</v>
      </c>
      <c r="AB103" s="19" t="n">
        <f aca="false">FALSE()</f>
        <v>0</v>
      </c>
      <c r="AC103" s="19" t="n">
        <f aca="false">FALSE()</f>
        <v>0</v>
      </c>
      <c r="AD103" s="19" t="n">
        <f aca="false">FALSE()</f>
        <v>0</v>
      </c>
      <c r="AE103" s="19" t="n">
        <f aca="false">FALSE()</f>
        <v>0</v>
      </c>
      <c r="AF103" s="19" t="n">
        <f aca="false">FALSE()</f>
        <v>0</v>
      </c>
      <c r="AG103" s="19" t="n">
        <f aca="false">FALSE()</f>
        <v>0</v>
      </c>
      <c r="AH103" s="19" t="n">
        <f aca="false">FALSE()</f>
        <v>0</v>
      </c>
      <c r="AI103" s="19" t="n">
        <f aca="false">FALSE()</f>
        <v>0</v>
      </c>
      <c r="AJ103" s="19" t="n">
        <f aca="false">FALSE()</f>
        <v>0</v>
      </c>
      <c r="AK103" s="19" t="n">
        <f aca="false" t="array" ref="AK103:AK103">SUM(IF(Q103:U103,1,0))</f>
        <v>4</v>
      </c>
      <c r="AL103" s="20" t="n">
        <f aca="false" t="array" ref="AL103:AL103">SUM(IF(V103:Z103,1,0))</f>
        <v>1</v>
      </c>
      <c r="AM103" s="20" t="n">
        <f aca="false" t="array" ref="AM103:AM103">SUM(IF(AA103:AE103,1,0))</f>
        <v>0</v>
      </c>
      <c r="AN103" s="20" t="n">
        <f aca="false" t="array" ref="AN103:AN103">SUM(IF(AF103:AJ103,1,0))</f>
        <v>0</v>
      </c>
      <c r="AO103" s="19" t="n">
        <f aca="false">TRUE()</f>
        <v>1</v>
      </c>
      <c r="AP103" s="1" t="n">
        <f aca="false">IF(O103 = 2,COUNTIF(Q103:AJ103,"TRUE"),-1)</f>
        <v>5</v>
      </c>
    </row>
    <row r="104" customFormat="false" ht="15.75" hidden="false" customHeight="false" outlineLevel="0" collapsed="false">
      <c r="A104" s="15" t="e">
        <f aca="true">INDIRECT("'Ответы на форму (1)'!A"&amp;$N104,TRUE())</f>
        <v>#REF!</v>
      </c>
      <c r="B104" s="16" t="e">
        <f aca="true">INDIRECT("'Ответы на форму (1)'!B"&amp;$N104,TRUE())</f>
        <v>#REF!</v>
      </c>
      <c r="C104" s="16" t="e">
        <f aca="true">INDIRECT("'Ответы на форму (1)'!C"&amp;$N104,TRUE())</f>
        <v>#REF!</v>
      </c>
      <c r="D104" s="16" t="e">
        <f aca="true">INDIRECT("'Ответы на форму (1)'!D"&amp;$N104,TRUE())</f>
        <v>#REF!</v>
      </c>
      <c r="E104" s="16" t="n">
        <f aca="false">IFERROR(__xludf.dummyfunction("iferror(VALUE(REGEXEXTRACT(TEXT(INDIRECT(""'Ответы на форму (1)'!E""&amp;$N104,TRUE),""####""),""[0-9]+"")),IF(IFERROR(SEARCH(""моцро"",INDIRECT(""'Ответы на форму (1)'!E""&amp;$N104,TRUE)),-1) &gt;= 0,117,INDIRECT(""'Ответы на форму (1)'!E""&amp;$N104,TRUE)))"),25)</f>
        <v>25</v>
      </c>
      <c r="F104" s="16" t="e">
        <f aca="true">INDIRECT("'Ответы на форму (1)'!F"&amp;$N104,TRUE())</f>
        <v>#REF!</v>
      </c>
      <c r="G104" s="17" t="e">
        <f aca="true">IFERROR(MID(INDIRECT("'Ответы на форму (1)'!G"&amp;$N104,TRUE()),SEARCH("vk.com",INDIRECT("'Ответы на форму (1)'!G"&amp;$N104,TRUE())),LEN(INDIRECT("'Ответы на форму (1)'!G"&amp;$N104,TRUE()))),INDIRECT("'Ответы на форму (1)'!G"&amp;$N104,TRUE()))</f>
        <v>#REF!</v>
      </c>
      <c r="H104" s="16" t="e">
        <f aca="true">INDIRECT("'Ответы на форму (1)'!H"&amp;$N104,TRUE())</f>
        <v>#REF!</v>
      </c>
      <c r="I104" s="16" t="e">
        <f aca="true">INDIRECT("'Ответы на форму (1)'!I"&amp;$N104,TRUE())</f>
        <v>#REF!</v>
      </c>
      <c r="J104" s="16" t="e">
        <f aca="true">INDIRECT("'Ответы на форму (1)'!J"&amp;$N104,TRUE())</f>
        <v>#REF!</v>
      </c>
      <c r="K104" s="16" t="e">
        <f aca="true">INDIRECT("'Ответы на форму (1)'!K"&amp;$N104,TRUE())</f>
        <v>#REF!</v>
      </c>
      <c r="L104" s="16" t="e">
        <f aca="true">INDIRECT("'Ответы на форму (1)'!L"&amp;$N104,TRUE())</f>
        <v>#REF!</v>
      </c>
      <c r="M104" s="16" t="e">
        <f aca="false" t="array" ref="M104:M104">IF(B104 &lt;&gt; "",IF(COUNTIF(concat(TRIM('Список прошлого года'!$B$2:$B$200),TRIM('Список прошлого года'!$C$2:$C$200)),concat(TRIM(B104),TRIM(C104))) &gt; 0,"Да","Нет"),"")</f>
        <v>#REF!</v>
      </c>
      <c r="N104" s="19" t="n">
        <v>114</v>
      </c>
      <c r="O104" s="19" t="n">
        <v>2</v>
      </c>
      <c r="P104" s="16"/>
      <c r="Q104" s="19" t="n">
        <f aca="false">TRUE()</f>
        <v>1</v>
      </c>
      <c r="R104" s="19" t="n">
        <f aca="false">TRUE()</f>
        <v>1</v>
      </c>
      <c r="S104" s="19" t="n">
        <f aca="false">TRUE()</f>
        <v>1</v>
      </c>
      <c r="T104" s="19" t="n">
        <f aca="false">TRUE()</f>
        <v>1</v>
      </c>
      <c r="U104" s="19" t="n">
        <f aca="false">TRUE()</f>
        <v>1</v>
      </c>
      <c r="V104" s="19" t="n">
        <f aca="false">TRUE()</f>
        <v>1</v>
      </c>
      <c r="W104" s="19" t="n">
        <f aca="false">TRUE()</f>
        <v>1</v>
      </c>
      <c r="X104" s="19" t="n">
        <f aca="false">TRUE()</f>
        <v>1</v>
      </c>
      <c r="Y104" s="19" t="n">
        <f aca="false">TRUE()</f>
        <v>1</v>
      </c>
      <c r="Z104" s="19" t="n">
        <f aca="false">TRUE()</f>
        <v>1</v>
      </c>
      <c r="AA104" s="19" t="n">
        <f aca="false">TRUE()</f>
        <v>1</v>
      </c>
      <c r="AB104" s="19" t="n">
        <f aca="false">TRUE()</f>
        <v>1</v>
      </c>
      <c r="AC104" s="19" t="n">
        <f aca="false">TRUE()</f>
        <v>1</v>
      </c>
      <c r="AD104" s="19" t="n">
        <f aca="false">TRUE()</f>
        <v>1</v>
      </c>
      <c r="AE104" s="19" t="n">
        <f aca="false">TRUE()</f>
        <v>1</v>
      </c>
      <c r="AF104" s="19" t="n">
        <f aca="false">TRUE()</f>
        <v>1</v>
      </c>
      <c r="AG104" s="19" t="n">
        <f aca="false">TRUE()</f>
        <v>1</v>
      </c>
      <c r="AH104" s="19" t="n">
        <f aca="false">TRUE()</f>
        <v>1</v>
      </c>
      <c r="AI104" s="19" t="n">
        <f aca="false">TRUE()</f>
        <v>1</v>
      </c>
      <c r="AJ104" s="19" t="n">
        <f aca="false">TRUE()</f>
        <v>1</v>
      </c>
      <c r="AK104" s="19" t="n">
        <f aca="false" t="array" ref="AK104:AK104">SUM(IF(Q104:U104,1,0))</f>
        <v>5</v>
      </c>
      <c r="AL104" s="20" t="n">
        <f aca="false" t="array" ref="AL104:AL104">SUM(IF(V104:Z104,1,0))</f>
        <v>5</v>
      </c>
      <c r="AM104" s="20" t="n">
        <f aca="false" t="array" ref="AM104:AM104">SUM(IF(AA104:AE104,1,0))</f>
        <v>5</v>
      </c>
      <c r="AN104" s="20" t="n">
        <f aca="false" t="array" ref="AN104:AN104">SUM(IF(AF104:AJ104,1,0))</f>
        <v>5</v>
      </c>
      <c r="AO104" s="19" t="n">
        <f aca="false">TRUE()</f>
        <v>1</v>
      </c>
      <c r="AP104" s="1" t="n">
        <f aca="false">IF(O104 = 2,COUNTIF(Q104:AJ104,"TRUE"),-1)</f>
        <v>20</v>
      </c>
    </row>
    <row r="105" customFormat="false" ht="15.75" hidden="false" customHeight="false" outlineLevel="0" collapsed="false">
      <c r="A105" s="8" t="e">
        <f aca="true">INDIRECT("'Ответы на форму (1)'!A"&amp;$N105,TRUE())</f>
        <v>#REF!</v>
      </c>
      <c r="B105" s="0" t="e">
        <f aca="true">INDIRECT("'Ответы на форму (1)'!B"&amp;$N105,TRUE())</f>
        <v>#REF!</v>
      </c>
      <c r="C105" s="0" t="e">
        <f aca="true">INDIRECT("'Ответы на форму (1)'!C"&amp;$N105,TRUE())</f>
        <v>#REF!</v>
      </c>
      <c r="D105" s="0" t="e">
        <f aca="true">INDIRECT("'Ответы на форму (1)'!D"&amp;$N105,TRUE())</f>
        <v>#REF!</v>
      </c>
      <c r="E105" s="0" t="n">
        <f aca="false">IFERROR(__xludf.dummyfunction("iferror(VALUE(REGEXEXTRACT(TEXT(INDIRECT(""'Ответы на форму (1)'!E""&amp;$N105,TRUE),""####""),""[0-9]+"")),IF(IFERROR(SEARCH(""моцро"",INDIRECT(""'Ответы на форму (1)'!E""&amp;$N105,TRUE)),-1) &gt;= 0,117,INDIRECT(""'Ответы на форму (1)'!E""&amp;$N105,TRUE)))"),117)</f>
        <v>117</v>
      </c>
      <c r="F105" s="0" t="e">
        <f aca="true">INDIRECT("'Ответы на форму (1)'!F"&amp;$N105,TRUE())</f>
        <v>#REF!</v>
      </c>
      <c r="G105" s="9" t="e">
        <f aca="true">IFERROR(MID(INDIRECT("'Ответы на форму (1)'!G"&amp;$N105,TRUE()),SEARCH("vk.com",INDIRECT("'Ответы на форму (1)'!G"&amp;$N105,TRUE())),LEN(INDIRECT("'Ответы на форму (1)'!G"&amp;$N105,TRUE()))),INDIRECT("'Ответы на форму (1)'!G"&amp;$N105,TRUE()))</f>
        <v>#REF!</v>
      </c>
      <c r="H105" s="0" t="e">
        <f aca="true">INDIRECT("'Ответы на форму (1)'!H"&amp;$N105,TRUE())</f>
        <v>#REF!</v>
      </c>
      <c r="I105" s="12" t="e">
        <f aca="true">INDIRECT("'Ответы на форму (1)'!I"&amp;$N105,TRUE())</f>
        <v>#REF!</v>
      </c>
      <c r="J105" s="12" t="e">
        <f aca="true">INDIRECT("'Ответы на форму (1)'!J"&amp;$N105,TRUE())</f>
        <v>#REF!</v>
      </c>
      <c r="K105" s="12" t="e">
        <f aca="true">INDIRECT("'Ответы на форму (1)'!K"&amp;$N105,TRUE())</f>
        <v>#REF!</v>
      </c>
      <c r="L105" s="12" t="e">
        <f aca="true">INDIRECT("'Ответы на форму (1)'!L"&amp;$N105,TRUE())</f>
        <v>#REF!</v>
      </c>
      <c r="M105" s="0" t="e">
        <f aca="false" t="array" ref="M105:M105">IF(B105 &lt;&gt; "",IF(COUNTIF(concat(TRIM('Список прошлого года'!$B$2:$B$200),TRIM('Список прошлого года'!$C$2:$C$200)),concat(TRIM(B105),TRIM(C105))) &gt; 0,"Да","Нет"),"")</f>
        <v>#REF!</v>
      </c>
      <c r="N105" s="1" t="n">
        <v>115</v>
      </c>
      <c r="O105" s="1" t="n">
        <v>2</v>
      </c>
      <c r="P105" s="1" t="s">
        <v>785</v>
      </c>
      <c r="Q105" s="1" t="n">
        <f aca="false">FALSE()</f>
        <v>0</v>
      </c>
      <c r="R105" s="1" t="n">
        <f aca="false">FALSE()</f>
        <v>0</v>
      </c>
      <c r="S105" s="1" t="n">
        <f aca="false">FALSE()</f>
        <v>0</v>
      </c>
      <c r="T105" s="1" t="n">
        <f aca="false">FALSE()</f>
        <v>0</v>
      </c>
      <c r="U105" s="1" t="n">
        <f aca="false">FALSE()</f>
        <v>0</v>
      </c>
      <c r="V105" s="1" t="n">
        <f aca="false">TRUE()</f>
        <v>1</v>
      </c>
      <c r="W105" s="1" t="n">
        <f aca="false">TRUE()</f>
        <v>1</v>
      </c>
      <c r="X105" s="1" t="n">
        <f aca="false">FALSE()</f>
        <v>0</v>
      </c>
      <c r="Y105" s="1" t="n">
        <f aca="false">FALSE()</f>
        <v>0</v>
      </c>
      <c r="Z105" s="1" t="n">
        <f aca="false">TRUE()</f>
        <v>1</v>
      </c>
      <c r="AA105" s="1" t="n">
        <f aca="false">FALSE()</f>
        <v>0</v>
      </c>
      <c r="AB105" s="1" t="n">
        <f aca="false">FALSE()</f>
        <v>0</v>
      </c>
      <c r="AC105" s="1" t="n">
        <f aca="false">FALSE()</f>
        <v>0</v>
      </c>
      <c r="AD105" s="1" t="n">
        <f aca="false">TRUE()</f>
        <v>1</v>
      </c>
      <c r="AE105" s="1" t="n">
        <f aca="false">FALSE()</f>
        <v>0</v>
      </c>
      <c r="AF105" s="1" t="n">
        <f aca="false">FALSE()</f>
        <v>0</v>
      </c>
      <c r="AG105" s="1" t="n">
        <f aca="false">FALSE()</f>
        <v>0</v>
      </c>
      <c r="AH105" s="1" t="n">
        <f aca="false">FALSE()</f>
        <v>0</v>
      </c>
      <c r="AI105" s="1" t="n">
        <f aca="false">FALSE()</f>
        <v>0</v>
      </c>
      <c r="AJ105" s="1" t="n">
        <f aca="false">FALSE()</f>
        <v>0</v>
      </c>
      <c r="AK105" s="1" t="n">
        <f aca="false" t="array" ref="AK105:AK105">SUM(IF(Q105:U105,1,0))</f>
        <v>0</v>
      </c>
      <c r="AL105" s="14" t="n">
        <f aca="false" t="array" ref="AL105:AL105">SUM(IF(V105:Z105,1,0))</f>
        <v>3</v>
      </c>
      <c r="AM105" s="14" t="n">
        <f aca="false" t="array" ref="AM105:AM105">SUM(IF(AA105:AE105,1,0))</f>
        <v>1</v>
      </c>
      <c r="AN105" s="14" t="n">
        <f aca="false" t="array" ref="AN105:AN105">SUM(IF(AF105:AJ105,1,0))</f>
        <v>0</v>
      </c>
      <c r="AO105" s="1" t="n">
        <f aca="false">FALSE()</f>
        <v>0</v>
      </c>
      <c r="AP105" s="1" t="n">
        <f aca="false">IF(O105 = 2,COUNTIF(Q105:AJ105,"TRUE"),-1)</f>
        <v>4</v>
      </c>
    </row>
    <row r="106" customFormat="false" ht="15.75" hidden="false" customHeight="false" outlineLevel="0" collapsed="false">
      <c r="A106" s="15" t="e">
        <f aca="true">INDIRECT("'Ответы на форму (1)'!A"&amp;$N106,TRUE())</f>
        <v>#REF!</v>
      </c>
      <c r="B106" s="16" t="e">
        <f aca="true">INDIRECT("'Ответы на форму (1)'!B"&amp;$N106,TRUE())</f>
        <v>#REF!</v>
      </c>
      <c r="C106" s="16" t="e">
        <f aca="true">INDIRECT("'Ответы на форму (1)'!C"&amp;$N106,TRUE())</f>
        <v>#REF!</v>
      </c>
      <c r="D106" s="16" t="e">
        <f aca="true">INDIRECT("'Ответы на форму (1)'!D"&amp;$N106,TRUE())</f>
        <v>#REF!</v>
      </c>
      <c r="E106" s="16" t="n">
        <f aca="false">IFERROR(__xludf.dummyfunction("iferror(VALUE(REGEXEXTRACT(TEXT(INDIRECT(""'Ответы на форму (1)'!E""&amp;$N106,TRUE),""####""),""[0-9]+"")),IF(IFERROR(SEARCH(""моцро"",INDIRECT(""'Ответы на форму (1)'!E""&amp;$N106,TRUE)),-1) &gt;= 0,117,INDIRECT(""'Ответы на форму (1)'!E""&amp;$N106,TRUE)))"),29)</f>
        <v>29</v>
      </c>
      <c r="F106" s="16" t="e">
        <f aca="true">INDIRECT("'Ответы на форму (1)'!F"&amp;$N106,TRUE())</f>
        <v>#REF!</v>
      </c>
      <c r="G106" s="17" t="e">
        <f aca="true">IFERROR(MID(INDIRECT("'Ответы на форму (1)'!G"&amp;$N106,TRUE()),SEARCH("vk.com",INDIRECT("'Ответы на форму (1)'!G"&amp;$N106,TRUE())),LEN(INDIRECT("'Ответы на форму (1)'!G"&amp;$N106,TRUE()))),INDIRECT("'Ответы на форму (1)'!G"&amp;$N106,TRUE()))</f>
        <v>#REF!</v>
      </c>
      <c r="H106" s="16" t="e">
        <f aca="true">INDIRECT("'Ответы на форму (1)'!H"&amp;$N106,TRUE())</f>
        <v>#REF!</v>
      </c>
      <c r="I106" s="16" t="e">
        <f aca="true">INDIRECT("'Ответы на форму (1)'!I"&amp;$N106,TRUE())</f>
        <v>#REF!</v>
      </c>
      <c r="J106" s="16" t="e">
        <f aca="true">INDIRECT("'Ответы на форму (1)'!J"&amp;$N106,TRUE())</f>
        <v>#REF!</v>
      </c>
      <c r="K106" s="16" t="e">
        <f aca="true">INDIRECT("'Ответы на форму (1)'!K"&amp;$N106,TRUE())</f>
        <v>#REF!</v>
      </c>
      <c r="L106" s="16" t="e">
        <f aca="true">INDIRECT("'Ответы на форму (1)'!L"&amp;$N106,TRUE())</f>
        <v>#REF!</v>
      </c>
      <c r="M106" s="16" t="e">
        <f aca="false" t="array" ref="M106:M106">IF(B106 &lt;&gt; "",IF(COUNTIF(concat(TRIM('Список прошлого года'!$B$2:$B$200),TRIM('Список прошлого года'!$C$2:$C$200)),concat(TRIM(B106),TRIM(C106))) &gt; 0,"Да","Нет"),"")</f>
        <v>#REF!</v>
      </c>
      <c r="N106" s="19" t="n">
        <v>116</v>
      </c>
      <c r="O106" s="19" t="n">
        <v>2</v>
      </c>
      <c r="P106" s="16"/>
      <c r="Q106" s="19" t="n">
        <f aca="false">TRUE()</f>
        <v>1</v>
      </c>
      <c r="R106" s="19" t="n">
        <f aca="false">TRUE()</f>
        <v>1</v>
      </c>
      <c r="S106" s="19" t="n">
        <f aca="false">TRUE()</f>
        <v>1</v>
      </c>
      <c r="T106" s="19" t="n">
        <f aca="false">TRUE()</f>
        <v>1</v>
      </c>
      <c r="U106" s="19" t="n">
        <f aca="false">TRUE()</f>
        <v>1</v>
      </c>
      <c r="V106" s="19" t="n">
        <f aca="false">TRUE()</f>
        <v>1</v>
      </c>
      <c r="W106" s="19" t="n">
        <f aca="false">TRUE()</f>
        <v>1</v>
      </c>
      <c r="X106" s="19" t="n">
        <f aca="false">TRUE()</f>
        <v>1</v>
      </c>
      <c r="Y106" s="19" t="n">
        <f aca="false">TRUE()</f>
        <v>1</v>
      </c>
      <c r="Z106" s="19" t="n">
        <f aca="false">TRUE()</f>
        <v>1</v>
      </c>
      <c r="AA106" s="19" t="n">
        <f aca="false">TRUE()</f>
        <v>1</v>
      </c>
      <c r="AB106" s="19" t="n">
        <f aca="false">TRUE()</f>
        <v>1</v>
      </c>
      <c r="AC106" s="19" t="n">
        <f aca="false">TRUE()</f>
        <v>1</v>
      </c>
      <c r="AD106" s="19" t="n">
        <f aca="false">TRUE()</f>
        <v>1</v>
      </c>
      <c r="AE106" s="19" t="n">
        <f aca="false">TRUE()</f>
        <v>1</v>
      </c>
      <c r="AF106" s="19" t="n">
        <f aca="false">TRUE()</f>
        <v>1</v>
      </c>
      <c r="AG106" s="19" t="n">
        <f aca="false">TRUE()</f>
        <v>1</v>
      </c>
      <c r="AH106" s="19" t="n">
        <f aca="false">TRUE()</f>
        <v>1</v>
      </c>
      <c r="AI106" s="19" t="n">
        <f aca="false">TRUE()</f>
        <v>1</v>
      </c>
      <c r="AJ106" s="19" t="n">
        <f aca="false">TRUE()</f>
        <v>1</v>
      </c>
      <c r="AK106" s="19" t="n">
        <f aca="false" t="array" ref="AK106:AK106">SUM(IF(Q106:U106,1,0))</f>
        <v>5</v>
      </c>
      <c r="AL106" s="20" t="n">
        <f aca="false" t="array" ref="AL106:AL106">SUM(IF(V106:Z106,1,0))</f>
        <v>5</v>
      </c>
      <c r="AM106" s="20" t="n">
        <f aca="false" t="array" ref="AM106:AM106">SUM(IF(AA106:AE106,1,0))</f>
        <v>5</v>
      </c>
      <c r="AN106" s="20" t="n">
        <f aca="false" t="array" ref="AN106:AN106">SUM(IF(AF106:AJ106,1,0))</f>
        <v>5</v>
      </c>
      <c r="AO106" s="19" t="n">
        <f aca="false">TRUE()</f>
        <v>1</v>
      </c>
      <c r="AP106" s="1" t="n">
        <f aca="false">IF(O106 = 2,COUNTIF(Q106:AJ106,"TRUE"),-1)</f>
        <v>20</v>
      </c>
    </row>
    <row r="107" customFormat="false" ht="15.75" hidden="false" customHeight="false" outlineLevel="0" collapsed="false">
      <c r="A107" s="8" t="e">
        <f aca="true">INDIRECT("'Ответы на форму (1)'!A"&amp;$N107,TRUE())</f>
        <v>#REF!</v>
      </c>
      <c r="B107" s="0" t="e">
        <f aca="true">INDIRECT("'Ответы на форму (1)'!B"&amp;$N107,TRUE())</f>
        <v>#REF!</v>
      </c>
      <c r="C107" s="0" t="e">
        <f aca="true">INDIRECT("'Ответы на форму (1)'!C"&amp;$N107,TRUE())</f>
        <v>#REF!</v>
      </c>
      <c r="D107" s="0" t="e">
        <f aca="true">INDIRECT("'Ответы на форму (1)'!D"&amp;$N107,TRUE())</f>
        <v>#REF!</v>
      </c>
      <c r="E107" s="0" t="n">
        <f aca="false">IFERROR(__xludf.dummyfunction("iferror(VALUE(REGEXEXTRACT(TEXT(INDIRECT(""'Ответы на форму (1)'!E""&amp;$N107,TRUE),""####""),""[0-9]+"")),IF(IFERROR(SEARCH(""моцро"",INDIRECT(""'Ответы на форму (1)'!E""&amp;$N107,TRUE)),-1) &gt;= 0,117,INDIRECT(""'Ответы на форму (1)'!E""&amp;$N107,TRUE)))"),84)</f>
        <v>84</v>
      </c>
      <c r="F107" s="0" t="e">
        <f aca="true">INDIRECT("'Ответы на форму (1)'!F"&amp;$N107,TRUE())</f>
        <v>#REF!</v>
      </c>
      <c r="G107" s="9" t="e">
        <f aca="true">IFERROR(MID(INDIRECT("'Ответы на форму (1)'!G"&amp;$N107,TRUE()),SEARCH("vk.com",INDIRECT("'Ответы на форму (1)'!G"&amp;$N107,TRUE())),LEN(INDIRECT("'Ответы на форму (1)'!G"&amp;$N107,TRUE()))),INDIRECT("'Ответы на форму (1)'!G"&amp;$N107,TRUE()))</f>
        <v>#REF!</v>
      </c>
      <c r="H107" s="0" t="e">
        <f aca="true">INDIRECT("'Ответы на форму (1)'!H"&amp;$N107,TRUE())</f>
        <v>#REF!</v>
      </c>
      <c r="I107" s="12" t="e">
        <f aca="true">INDIRECT("'Ответы на форму (1)'!I"&amp;$N107,TRUE())</f>
        <v>#REF!</v>
      </c>
      <c r="J107" s="12" t="e">
        <f aca="true">INDIRECT("'Ответы на форму (1)'!J"&amp;$N107,TRUE())</f>
        <v>#REF!</v>
      </c>
      <c r="K107" s="12" t="e">
        <f aca="true">INDIRECT("'Ответы на форму (1)'!K"&amp;$N107,TRUE())</f>
        <v>#REF!</v>
      </c>
      <c r="L107" s="12" t="e">
        <f aca="true">INDIRECT("'Ответы на форму (1)'!L"&amp;$N107,TRUE())</f>
        <v>#REF!</v>
      </c>
      <c r="M107" s="0" t="e">
        <f aca="false" t="array" ref="M107:M107">IF(B107 &lt;&gt; "",IF(COUNTIF(concat(TRIM('Список прошлого года'!$B$2:$B$200),TRIM('Список прошлого года'!$C$2:$C$200)),concat(TRIM(B107),TRIM(C107))) &gt; 0,"Да","Нет"),"")</f>
        <v>#REF!</v>
      </c>
      <c r="N107" s="1" t="n">
        <v>117</v>
      </c>
      <c r="O107" s="1" t="n">
        <v>2</v>
      </c>
      <c r="Q107" s="1" t="n">
        <f aca="false">FALSE()</f>
        <v>0</v>
      </c>
      <c r="R107" s="1" t="n">
        <f aca="false">FALSE()</f>
        <v>0</v>
      </c>
      <c r="S107" s="1" t="n">
        <f aca="false">FALSE()</f>
        <v>0</v>
      </c>
      <c r="T107" s="1" t="n">
        <f aca="false">FALSE()</f>
        <v>0</v>
      </c>
      <c r="U107" s="1" t="n">
        <f aca="false">FALSE()</f>
        <v>0</v>
      </c>
      <c r="V107" s="1" t="n">
        <f aca="false">FALSE()</f>
        <v>0</v>
      </c>
      <c r="W107" s="1" t="n">
        <f aca="false">FALSE()</f>
        <v>0</v>
      </c>
      <c r="X107" s="1" t="n">
        <f aca="false">FALSE()</f>
        <v>0</v>
      </c>
      <c r="Y107" s="1" t="n">
        <f aca="false">FALSE()</f>
        <v>0</v>
      </c>
      <c r="Z107" s="1" t="n">
        <f aca="false">FALSE()</f>
        <v>0</v>
      </c>
      <c r="AA107" s="1" t="n">
        <f aca="false">FALSE()</f>
        <v>0</v>
      </c>
      <c r="AB107" s="1" t="n">
        <f aca="false">FALSE()</f>
        <v>0</v>
      </c>
      <c r="AC107" s="1" t="n">
        <f aca="false">FALSE()</f>
        <v>0</v>
      </c>
      <c r="AD107" s="1" t="n">
        <f aca="false">FALSE()</f>
        <v>0</v>
      </c>
      <c r="AE107" s="1" t="n">
        <f aca="false">FALSE()</f>
        <v>0</v>
      </c>
      <c r="AF107" s="1" t="n">
        <f aca="false">FALSE()</f>
        <v>0</v>
      </c>
      <c r="AG107" s="1" t="n">
        <f aca="false">FALSE()</f>
        <v>0</v>
      </c>
      <c r="AH107" s="1" t="n">
        <f aca="false">FALSE()</f>
        <v>0</v>
      </c>
      <c r="AI107" s="1" t="n">
        <f aca="false">FALSE()</f>
        <v>0</v>
      </c>
      <c r="AJ107" s="1" t="n">
        <f aca="false">FALSE()</f>
        <v>0</v>
      </c>
      <c r="AK107" s="1" t="n">
        <f aca="false" t="array" ref="AK107:AK107">SUM(IF(Q107:U107,1,0))</f>
        <v>0</v>
      </c>
      <c r="AL107" s="14" t="n">
        <f aca="false" t="array" ref="AL107:AL107">SUM(IF(V107:Z107,1,0))</f>
        <v>0</v>
      </c>
      <c r="AM107" s="14" t="n">
        <f aca="false" t="array" ref="AM107:AM107">SUM(IF(AA107:AE107,1,0))</f>
        <v>0</v>
      </c>
      <c r="AN107" s="14" t="n">
        <f aca="false" t="array" ref="AN107:AN107">SUM(IF(AF107:AJ107,1,0))</f>
        <v>0</v>
      </c>
      <c r="AO107" s="1" t="n">
        <f aca="false">FALSE()</f>
        <v>0</v>
      </c>
      <c r="AP107" s="1" t="n">
        <f aca="false">IF(O107 = 2,COUNTIF(Q107:AJ107,"TRUE"),-1)</f>
        <v>0</v>
      </c>
    </row>
    <row r="108" customFormat="false" ht="15.75" hidden="false" customHeight="false" outlineLevel="0" collapsed="false">
      <c r="A108" s="8" t="e">
        <f aca="true">INDIRECT("'Ответы на форму (1)'!A"&amp;$N108,TRUE())</f>
        <v>#REF!</v>
      </c>
      <c r="B108" s="0" t="e">
        <f aca="true">INDIRECT("'Ответы на форму (1)'!B"&amp;$N108,TRUE())</f>
        <v>#REF!</v>
      </c>
      <c r="C108" s="0" t="e">
        <f aca="true">INDIRECT("'Ответы на форму (1)'!C"&amp;$N108,TRUE())</f>
        <v>#REF!</v>
      </c>
      <c r="D108" s="0" t="e">
        <f aca="true">INDIRECT("'Ответы на форму (1)'!D"&amp;$N108,TRUE())</f>
        <v>#REF!</v>
      </c>
      <c r="E108" s="0" t="n">
        <f aca="false">IFERROR(__xludf.dummyfunction("iferror(VALUE(REGEXEXTRACT(TEXT(INDIRECT(""'Ответы на форму (1)'!E""&amp;$N108,TRUE),""####""),""[0-9]+"")),IF(IFERROR(SEARCH(""моцро"",INDIRECT(""'Ответы на форму (1)'!E""&amp;$N108,TRUE)),-1) &gt;= 0,117,INDIRECT(""'Ответы на форму (1)'!E""&amp;$N108,TRUE)))"),117)</f>
        <v>117</v>
      </c>
      <c r="F108" s="0" t="e">
        <f aca="true">INDIRECT("'Ответы на форму (1)'!F"&amp;$N108,TRUE())</f>
        <v>#REF!</v>
      </c>
      <c r="G108" s="0" t="e">
        <f aca="true">IFERROR(MID(INDIRECT("'Ответы на форму (1)'!G"&amp;$N108,TRUE()),SEARCH("vk.com",INDIRECT("'Ответы на форму (1)'!G"&amp;$N108,TRUE())),LEN(INDIRECT("'Ответы на форму (1)'!G"&amp;$N108,TRUE()))),INDIRECT("'Ответы на форму (1)'!G"&amp;$N108,TRUE()))</f>
        <v>#REF!</v>
      </c>
      <c r="H108" s="0" t="e">
        <f aca="true">INDIRECT("'Ответы на форму (1)'!H"&amp;$N108,TRUE())</f>
        <v>#REF!</v>
      </c>
      <c r="I108" s="12" t="e">
        <f aca="true">INDIRECT("'Ответы на форму (1)'!I"&amp;$N108,TRUE())</f>
        <v>#REF!</v>
      </c>
      <c r="J108" s="12" t="e">
        <f aca="true">INDIRECT("'Ответы на форму (1)'!J"&amp;$N108,TRUE())</f>
        <v>#REF!</v>
      </c>
      <c r="K108" s="12" t="e">
        <f aca="true">INDIRECT("'Ответы на форму (1)'!K"&amp;$N108,TRUE())</f>
        <v>#REF!</v>
      </c>
      <c r="L108" s="12" t="e">
        <f aca="true">INDIRECT("'Ответы на форму (1)'!L"&amp;$N108,TRUE())</f>
        <v>#REF!</v>
      </c>
      <c r="M108" s="0" t="e">
        <f aca="false" t="array" ref="M108:M108">IF(B108 &lt;&gt; "",IF(COUNTIF(concat(TRIM('Список прошлого года'!$B$2:$B$200),TRIM('Список прошлого года'!$C$2:$C$200)),concat(TRIM(B108),TRIM(C108))) &gt; 0,"Да","Нет"),"")</f>
        <v>#REF!</v>
      </c>
      <c r="N108" s="1" t="n">
        <v>118</v>
      </c>
      <c r="O108" s="1" t="n">
        <v>1</v>
      </c>
      <c r="Q108" s="1" t="n">
        <f aca="false">FALSE()</f>
        <v>0</v>
      </c>
      <c r="R108" s="1" t="n">
        <f aca="false">FALSE()</f>
        <v>0</v>
      </c>
      <c r="S108" s="1" t="n">
        <f aca="false">FALSE()</f>
        <v>0</v>
      </c>
      <c r="T108" s="1" t="n">
        <f aca="false">FALSE()</f>
        <v>0</v>
      </c>
      <c r="U108" s="1" t="n">
        <f aca="false">FALSE()</f>
        <v>0</v>
      </c>
      <c r="V108" s="1" t="n">
        <f aca="false">FALSE()</f>
        <v>0</v>
      </c>
      <c r="W108" s="1" t="n">
        <f aca="false">TRUE()</f>
        <v>1</v>
      </c>
      <c r="X108" s="1" t="n">
        <f aca="false">FALSE()</f>
        <v>0</v>
      </c>
      <c r="Y108" s="1" t="n">
        <f aca="false">FALSE()</f>
        <v>0</v>
      </c>
      <c r="Z108" s="1" t="n">
        <f aca="false">FALSE()</f>
        <v>0</v>
      </c>
      <c r="AA108" s="1" t="n">
        <f aca="false">FALSE()</f>
        <v>0</v>
      </c>
      <c r="AB108" s="1" t="n">
        <f aca="false">FALSE()</f>
        <v>0</v>
      </c>
      <c r="AC108" s="1" t="n">
        <f aca="false">FALSE()</f>
        <v>0</v>
      </c>
      <c r="AD108" s="1" t="n">
        <f aca="false">FALSE()</f>
        <v>0</v>
      </c>
      <c r="AE108" s="1" t="n">
        <f aca="false">FALSE()</f>
        <v>0</v>
      </c>
      <c r="AF108" s="1" t="n">
        <f aca="false">FALSE()</f>
        <v>0</v>
      </c>
      <c r="AG108" s="1" t="n">
        <f aca="false">FALSE()</f>
        <v>0</v>
      </c>
      <c r="AH108" s="1" t="n">
        <f aca="false">FALSE()</f>
        <v>0</v>
      </c>
      <c r="AI108" s="1" t="n">
        <f aca="false">FALSE()</f>
        <v>0</v>
      </c>
      <c r="AJ108" s="1" t="n">
        <f aca="false">FALSE()</f>
        <v>0</v>
      </c>
      <c r="AK108" s="1" t="n">
        <f aca="false" t="array" ref="AK108:AK108">SUM(IF(Q108:U108,1,0))</f>
        <v>0</v>
      </c>
      <c r="AL108" s="14" t="n">
        <f aca="false" t="array" ref="AL108:AL108">SUM(IF(V108:Z108,1,0))</f>
        <v>1</v>
      </c>
      <c r="AM108" s="14" t="n">
        <f aca="false" t="array" ref="AM108:AM108">SUM(IF(AA108:AE108,1,0))</f>
        <v>0</v>
      </c>
      <c r="AN108" s="14" t="n">
        <f aca="false" t="array" ref="AN108:AN108">SUM(IF(AF108:AJ108,1,0))</f>
        <v>0</v>
      </c>
      <c r="AO108" s="1" t="n">
        <f aca="false">FALSE()</f>
        <v>0</v>
      </c>
      <c r="AP108" s="1" t="n">
        <f aca="false">IF(O108 = 2,COUNTIF(Q108:AJ108,"TRUE"),-1)</f>
        <v>-1</v>
      </c>
    </row>
    <row r="109" customFormat="false" ht="15.75" hidden="false" customHeight="false" outlineLevel="0" collapsed="false">
      <c r="A109" s="8" t="e">
        <f aca="true">INDIRECT("'Ответы на форму (1)'!A"&amp;$N109,TRUE())</f>
        <v>#REF!</v>
      </c>
      <c r="B109" s="0" t="e">
        <f aca="true">INDIRECT("'Ответы на форму (1)'!B"&amp;$N109,TRUE())</f>
        <v>#REF!</v>
      </c>
      <c r="C109" s="0" t="e">
        <f aca="true">INDIRECT("'Ответы на форму (1)'!C"&amp;$N109,TRUE())</f>
        <v>#REF!</v>
      </c>
      <c r="D109" s="0" t="e">
        <f aca="true">INDIRECT("'Ответы на форму (1)'!D"&amp;$N109,TRUE())</f>
        <v>#REF!</v>
      </c>
      <c r="E109" s="0" t="n">
        <f aca="false">IFERROR(__xludf.dummyfunction("iferror(VALUE(REGEXEXTRACT(TEXT(INDIRECT(""'Ответы на форму (1)'!E""&amp;$N109,TRUE),""####""),""[0-9]+"")),IF(IFERROR(SEARCH(""моцро"",INDIRECT(""'Ответы на форму (1)'!E""&amp;$N109,TRUE)),-1) &gt;= 0,117,INDIRECT(""'Ответы на форму (1)'!E""&amp;$N109,TRUE)))"),159)</f>
        <v>159</v>
      </c>
      <c r="F109" s="0" t="e">
        <f aca="true">INDIRECT("'Ответы на форму (1)'!F"&amp;$N109,TRUE())</f>
        <v>#REF!</v>
      </c>
      <c r="G109" s="9" t="e">
        <f aca="true">IFERROR(MID(INDIRECT("'Ответы на форму (1)'!G"&amp;$N109,TRUE()),SEARCH("vk.com",INDIRECT("'Ответы на форму (1)'!G"&amp;$N109,TRUE())),LEN(INDIRECT("'Ответы на форму (1)'!G"&amp;$N109,TRUE()))),INDIRECT("'Ответы на форму (1)'!G"&amp;$N109,TRUE()))</f>
        <v>#REF!</v>
      </c>
      <c r="H109" s="0" t="e">
        <f aca="true">INDIRECT("'Ответы на форму (1)'!H"&amp;$N109,TRUE())</f>
        <v>#REF!</v>
      </c>
      <c r="I109" s="12" t="e">
        <f aca="true">INDIRECT("'Ответы на форму (1)'!I"&amp;$N109,TRUE())</f>
        <v>#REF!</v>
      </c>
      <c r="J109" s="12" t="e">
        <f aca="true">INDIRECT("'Ответы на форму (1)'!J"&amp;$N109,TRUE())</f>
        <v>#REF!</v>
      </c>
      <c r="K109" s="12" t="e">
        <f aca="true">INDIRECT("'Ответы на форму (1)'!K"&amp;$N109,TRUE())</f>
        <v>#REF!</v>
      </c>
      <c r="L109" s="12" t="e">
        <f aca="true">INDIRECT("'Ответы на форму (1)'!L"&amp;$N109,TRUE())</f>
        <v>#REF!</v>
      </c>
      <c r="M109" s="0" t="e">
        <f aca="false" t="array" ref="M109:M109">IF(B109 &lt;&gt; "",IF(COUNTIF(concat(TRIM('Список прошлого года'!$B$2:$B$200),TRIM('Список прошлого года'!$C$2:$C$200)),concat(TRIM(B109),TRIM(C109))) &gt; 0,"Да","Нет"),"")</f>
        <v>#REF!</v>
      </c>
      <c r="N109" s="1" t="n">
        <v>119</v>
      </c>
      <c r="O109" s="1" t="n">
        <v>2</v>
      </c>
      <c r="Q109" s="1" t="n">
        <f aca="false">TRUE()</f>
        <v>1</v>
      </c>
      <c r="R109" s="1" t="n">
        <f aca="false">TRUE()</f>
        <v>1</v>
      </c>
      <c r="S109" s="1" t="n">
        <f aca="false">TRUE()</f>
        <v>1</v>
      </c>
      <c r="T109" s="1" t="n">
        <f aca="false">TRUE()</f>
        <v>1</v>
      </c>
      <c r="U109" s="1" t="n">
        <f aca="false">FALSE()</f>
        <v>0</v>
      </c>
      <c r="V109" s="1" t="n">
        <f aca="false">TRUE()</f>
        <v>1</v>
      </c>
      <c r="W109" s="1" t="n">
        <f aca="false">TRUE()</f>
        <v>1</v>
      </c>
      <c r="X109" s="1" t="n">
        <f aca="false">TRUE()</f>
        <v>1</v>
      </c>
      <c r="Y109" s="1" t="n">
        <f aca="false">TRUE()</f>
        <v>1</v>
      </c>
      <c r="Z109" s="1" t="n">
        <f aca="false">FALSE()</f>
        <v>0</v>
      </c>
      <c r="AA109" s="1" t="n">
        <f aca="false">TRUE()</f>
        <v>1</v>
      </c>
      <c r="AB109" s="1" t="n">
        <f aca="false">TRUE()</f>
        <v>1</v>
      </c>
      <c r="AC109" s="1" t="n">
        <f aca="false">FALSE()</f>
        <v>0</v>
      </c>
      <c r="AD109" s="1" t="n">
        <f aca="false">FALSE()</f>
        <v>0</v>
      </c>
      <c r="AE109" s="1" t="n">
        <f aca="false">FALSE()</f>
        <v>0</v>
      </c>
      <c r="AF109" s="1" t="n">
        <f aca="false">TRUE()</f>
        <v>1</v>
      </c>
      <c r="AG109" s="1" t="n">
        <f aca="false">TRUE()</f>
        <v>1</v>
      </c>
      <c r="AH109" s="1" t="n">
        <f aca="false">TRUE()</f>
        <v>1</v>
      </c>
      <c r="AI109" s="1" t="n">
        <f aca="false">TRUE()</f>
        <v>1</v>
      </c>
      <c r="AJ109" s="1" t="n">
        <f aca="false">TRUE()</f>
        <v>1</v>
      </c>
      <c r="AK109" s="1" t="n">
        <f aca="false" t="array" ref="AK109:AK109">SUM(IF(Q109:U109,1,0))</f>
        <v>4</v>
      </c>
      <c r="AL109" s="14" t="n">
        <f aca="false" t="array" ref="AL109:AL109">SUM(IF(V109:Z109,1,0))</f>
        <v>4</v>
      </c>
      <c r="AM109" s="14" t="n">
        <f aca="false" t="array" ref="AM109:AM109">SUM(IF(AA109:AE109,1,0))</f>
        <v>2</v>
      </c>
      <c r="AN109" s="14" t="n">
        <f aca="false" t="array" ref="AN109:AN109">SUM(IF(AF109:AJ109,1,0))</f>
        <v>5</v>
      </c>
      <c r="AO109" s="1" t="n">
        <f aca="false">FALSE()</f>
        <v>0</v>
      </c>
      <c r="AP109" s="1" t="n">
        <f aca="false">IF(O109 = 2,COUNTIF(Q109:AJ109,"TRUE"),-1)</f>
        <v>15</v>
      </c>
    </row>
    <row r="110" customFormat="false" ht="15.75" hidden="false" customHeight="false" outlineLevel="0" collapsed="false">
      <c r="A110" s="8" t="e">
        <f aca="true">INDIRECT("'Ответы на форму (1)'!A"&amp;$N110,TRUE())</f>
        <v>#REF!</v>
      </c>
      <c r="B110" s="0" t="e">
        <f aca="true">INDIRECT("'Ответы на форму (1)'!B"&amp;$N110,TRUE())</f>
        <v>#REF!</v>
      </c>
      <c r="C110" s="0" t="e">
        <f aca="true">INDIRECT("'Ответы на форму (1)'!C"&amp;$N110,TRUE())</f>
        <v>#REF!</v>
      </c>
      <c r="D110" s="0" t="e">
        <f aca="true">INDIRECT("'Ответы на форму (1)'!D"&amp;$N110,TRUE())</f>
        <v>#REF!</v>
      </c>
      <c r="E110" s="0" t="n">
        <f aca="false">IFERROR(__xludf.dummyfunction("iferror(VALUE(REGEXEXTRACT(TEXT(INDIRECT(""'Ответы на форму (1)'!E""&amp;$N110,TRUE),""####""),""[0-9]+"")),IF(IFERROR(SEARCH(""моцро"",INDIRECT(""'Ответы на форму (1)'!E""&amp;$N110,TRUE)),-1) &gt;= 0,117,INDIRECT(""'Ответы на форму (1)'!E""&amp;$N110,TRUE)))"),75)</f>
        <v>75</v>
      </c>
      <c r="F110" s="0" t="e">
        <f aca="true">INDIRECT("'Ответы на форму (1)'!F"&amp;$N110,TRUE())</f>
        <v>#REF!</v>
      </c>
      <c r="G110" s="9" t="e">
        <f aca="true">IFERROR(MID(INDIRECT("'Ответы на форму (1)'!G"&amp;$N110,TRUE()),SEARCH("vk.com",INDIRECT("'Ответы на форму (1)'!G"&amp;$N110,TRUE())),LEN(INDIRECT("'Ответы на форму (1)'!G"&amp;$N110,TRUE()))),INDIRECT("'Ответы на форму (1)'!G"&amp;$N110,TRUE()))</f>
        <v>#REF!</v>
      </c>
      <c r="H110" s="0" t="e">
        <f aca="true">INDIRECT("'Ответы на форму (1)'!H"&amp;$N110,TRUE())</f>
        <v>#REF!</v>
      </c>
      <c r="I110" s="12" t="e">
        <f aca="true">INDIRECT("'Ответы на форму (1)'!I"&amp;$N110,TRUE())</f>
        <v>#REF!</v>
      </c>
      <c r="J110" s="12" t="e">
        <f aca="true">INDIRECT("'Ответы на форму (1)'!J"&amp;$N110,TRUE())</f>
        <v>#REF!</v>
      </c>
      <c r="K110" s="12" t="e">
        <f aca="true">INDIRECT("'Ответы на форму (1)'!K"&amp;$N110,TRUE())</f>
        <v>#REF!</v>
      </c>
      <c r="L110" s="12" t="e">
        <f aca="true">INDIRECT("'Ответы на форму (1)'!L"&amp;$N110,TRUE())</f>
        <v>#REF!</v>
      </c>
      <c r="M110" s="0" t="e">
        <f aca="false" t="array" ref="M110:M110">IF(B110 &lt;&gt; "",IF(COUNTIF(concat(TRIM('Список прошлого года'!$B$2:$B$200),TRIM('Список прошлого года'!$C$2:$C$200)),concat(TRIM(B110),TRIM(C110))) &gt; 0,"Да","Нет"),"")</f>
        <v>#REF!</v>
      </c>
      <c r="N110" s="1" t="n">
        <v>121</v>
      </c>
      <c r="O110" s="1" t="n">
        <v>2</v>
      </c>
      <c r="Q110" s="1" t="n">
        <f aca="false">FALSE()</f>
        <v>0</v>
      </c>
      <c r="R110" s="1" t="n">
        <f aca="false">FALSE()</f>
        <v>0</v>
      </c>
      <c r="S110" s="1" t="n">
        <f aca="false">FALSE()</f>
        <v>0</v>
      </c>
      <c r="T110" s="1" t="n">
        <f aca="false">FALSE()</f>
        <v>0</v>
      </c>
      <c r="U110" s="1" t="n">
        <f aca="false">FALSE()</f>
        <v>0</v>
      </c>
      <c r="V110" s="1" t="n">
        <f aca="false">FALSE()</f>
        <v>0</v>
      </c>
      <c r="W110" s="1" t="n">
        <f aca="false">FALSE()</f>
        <v>0</v>
      </c>
      <c r="X110" s="1" t="n">
        <f aca="false">FALSE()</f>
        <v>0</v>
      </c>
      <c r="Y110" s="1" t="n">
        <f aca="false">FALSE()</f>
        <v>0</v>
      </c>
      <c r="Z110" s="1" t="n">
        <f aca="false">FALSE()</f>
        <v>0</v>
      </c>
      <c r="AA110" s="1" t="n">
        <f aca="false">FALSE()</f>
        <v>0</v>
      </c>
      <c r="AB110" s="1" t="n">
        <f aca="false">FALSE()</f>
        <v>0</v>
      </c>
      <c r="AC110" s="1" t="n">
        <f aca="false">FALSE()</f>
        <v>0</v>
      </c>
      <c r="AD110" s="1" t="n">
        <f aca="false">FALSE()</f>
        <v>0</v>
      </c>
      <c r="AE110" s="1" t="n">
        <f aca="false">FALSE()</f>
        <v>0</v>
      </c>
      <c r="AF110" s="1" t="n">
        <f aca="false">FALSE()</f>
        <v>0</v>
      </c>
      <c r="AG110" s="1" t="n">
        <f aca="false">FALSE()</f>
        <v>0</v>
      </c>
      <c r="AH110" s="1" t="n">
        <f aca="false">FALSE()</f>
        <v>0</v>
      </c>
      <c r="AI110" s="1" t="n">
        <f aca="false">FALSE()</f>
        <v>0</v>
      </c>
      <c r="AJ110" s="1" t="n">
        <f aca="false">FALSE()</f>
        <v>0</v>
      </c>
      <c r="AK110" s="1" t="n">
        <f aca="false" t="array" ref="AK110:AK110">SUM(IF(Q110:U110,1,0))</f>
        <v>0</v>
      </c>
      <c r="AL110" s="14" t="n">
        <f aca="false" t="array" ref="AL110:AL110">SUM(IF(V110:Z110,1,0))</f>
        <v>0</v>
      </c>
      <c r="AM110" s="14" t="n">
        <f aca="false" t="array" ref="AM110:AM110">SUM(IF(AA110:AE110,1,0))</f>
        <v>0</v>
      </c>
      <c r="AN110" s="14" t="n">
        <f aca="false" t="array" ref="AN110:AN110">SUM(IF(AF110:AJ110,1,0))</f>
        <v>0</v>
      </c>
      <c r="AO110" s="1" t="n">
        <f aca="false">FALSE()</f>
        <v>0</v>
      </c>
      <c r="AP110" s="1" t="n">
        <f aca="false">IF(O110 = 2,COUNTIF(Q110:AJ110,"TRUE"),-1)</f>
        <v>0</v>
      </c>
    </row>
    <row r="111" customFormat="false" ht="15.75" hidden="false" customHeight="false" outlineLevel="0" collapsed="false">
      <c r="A111" s="8" t="e">
        <f aca="true">INDIRECT("'Ответы на форму (1)'!A"&amp;$N111,TRUE())</f>
        <v>#REF!</v>
      </c>
      <c r="B111" s="0" t="e">
        <f aca="true">INDIRECT("'Ответы на форму (1)'!B"&amp;$N111,TRUE())</f>
        <v>#REF!</v>
      </c>
      <c r="C111" s="0" t="e">
        <f aca="true">INDIRECT("'Ответы на форму (1)'!C"&amp;$N111,TRUE())</f>
        <v>#REF!</v>
      </c>
      <c r="D111" s="0" t="e">
        <f aca="true">INDIRECT("'Ответы на форму (1)'!D"&amp;$N111,TRUE())</f>
        <v>#REF!</v>
      </c>
      <c r="E111" s="0" t="n">
        <f aca="false">IFERROR(__xludf.dummyfunction("iferror(VALUE(REGEXEXTRACT(TEXT(INDIRECT(""'Ответы на форму (1)'!E""&amp;$N111,TRUE),""####""),""[0-9]+"")),IF(IFERROR(SEARCH(""моцро"",INDIRECT(""'Ответы на форму (1)'!E""&amp;$N111,TRUE)),-1) &gt;= 0,117,INDIRECT(""'Ответы на форму (1)'!E""&amp;$N111,TRUE)))"),130)</f>
        <v>130</v>
      </c>
      <c r="F111" s="0" t="e">
        <f aca="true">INDIRECT("'Ответы на форму (1)'!F"&amp;$N111,TRUE())</f>
        <v>#REF!</v>
      </c>
      <c r="G111" s="9" t="e">
        <f aca="true">IFERROR(MID(INDIRECT("'Ответы на форму (1)'!G"&amp;$N111,TRUE()),SEARCH("vk.com",INDIRECT("'Ответы на форму (1)'!G"&amp;$N111,TRUE())),LEN(INDIRECT("'Ответы на форму (1)'!G"&amp;$N111,TRUE()))),INDIRECT("'Ответы на форму (1)'!G"&amp;$N111,TRUE()))</f>
        <v>#REF!</v>
      </c>
      <c r="H111" s="0" t="e">
        <f aca="true">INDIRECT("'Ответы на форму (1)'!H"&amp;$N111,TRUE())</f>
        <v>#REF!</v>
      </c>
      <c r="I111" s="12" t="e">
        <f aca="true">INDIRECT("'Ответы на форму (1)'!I"&amp;$N111,TRUE())</f>
        <v>#REF!</v>
      </c>
      <c r="J111" s="12" t="e">
        <f aca="true">INDIRECT("'Ответы на форму (1)'!J"&amp;$N111,TRUE())</f>
        <v>#REF!</v>
      </c>
      <c r="K111" s="12" t="e">
        <f aca="true">INDIRECT("'Ответы на форму (1)'!K"&amp;$N111,TRUE())</f>
        <v>#REF!</v>
      </c>
      <c r="L111" s="12" t="e">
        <f aca="true">INDIRECT("'Ответы на форму (1)'!L"&amp;$N111,TRUE())</f>
        <v>#REF!</v>
      </c>
      <c r="M111" s="0" t="e">
        <f aca="false" t="array" ref="M111:M111">IF(B111 &lt;&gt; "",IF(COUNTIF(concat(TRIM('Список прошлого года'!$B$2:$B$200),TRIM('Список прошлого года'!$C$2:$C$200)),concat(TRIM(B111),TRIM(C111))) &gt; 0,"Да","Нет"),"")</f>
        <v>#REF!</v>
      </c>
      <c r="N111" s="1" t="n">
        <v>122</v>
      </c>
      <c r="O111" s="1" t="n">
        <v>2</v>
      </c>
      <c r="Q111" s="1" t="n">
        <f aca="false">FALSE()</f>
        <v>0</v>
      </c>
      <c r="R111" s="1" t="n">
        <f aca="false">FALSE()</f>
        <v>0</v>
      </c>
      <c r="S111" s="1" t="n">
        <f aca="false">FALSE()</f>
        <v>0</v>
      </c>
      <c r="T111" s="1" t="n">
        <f aca="false">FALSE()</f>
        <v>0</v>
      </c>
      <c r="U111" s="1" t="n">
        <f aca="false">FALSE()</f>
        <v>0</v>
      </c>
      <c r="V111" s="1" t="n">
        <f aca="false">FALSE()</f>
        <v>0</v>
      </c>
      <c r="W111" s="1" t="n">
        <f aca="false">TRUE()</f>
        <v>1</v>
      </c>
      <c r="X111" s="1" t="n">
        <f aca="false">FALSE()</f>
        <v>0</v>
      </c>
      <c r="Y111" s="1" t="n">
        <f aca="false">FALSE()</f>
        <v>0</v>
      </c>
      <c r="Z111" s="1" t="n">
        <f aca="false">FALSE()</f>
        <v>0</v>
      </c>
      <c r="AA111" s="1" t="n">
        <f aca="false">FALSE()</f>
        <v>0</v>
      </c>
      <c r="AB111" s="1" t="n">
        <f aca="false">FALSE()</f>
        <v>0</v>
      </c>
      <c r="AC111" s="1" t="n">
        <f aca="false">FALSE()</f>
        <v>0</v>
      </c>
      <c r="AD111" s="1" t="n">
        <f aca="false">FALSE()</f>
        <v>0</v>
      </c>
      <c r="AE111" s="1" t="n">
        <f aca="false">FALSE()</f>
        <v>0</v>
      </c>
      <c r="AF111" s="1" t="n">
        <f aca="false">FALSE()</f>
        <v>0</v>
      </c>
      <c r="AG111" s="1" t="n">
        <f aca="false">FALSE()</f>
        <v>0</v>
      </c>
      <c r="AH111" s="1" t="n">
        <f aca="false">FALSE()</f>
        <v>0</v>
      </c>
      <c r="AI111" s="1" t="n">
        <f aca="false">FALSE()</f>
        <v>0</v>
      </c>
      <c r="AJ111" s="1" t="n">
        <f aca="false">FALSE()</f>
        <v>0</v>
      </c>
      <c r="AK111" s="1" t="n">
        <f aca="false" t="array" ref="AK111:AK111">SUM(IF(Q111:U111,1,0))</f>
        <v>0</v>
      </c>
      <c r="AL111" s="14" t="n">
        <f aca="false" t="array" ref="AL111:AL111">SUM(IF(V111:Z111,1,0))</f>
        <v>1</v>
      </c>
      <c r="AM111" s="14" t="n">
        <f aca="false" t="array" ref="AM111:AM111">SUM(IF(AA111:AE111,1,0))</f>
        <v>0</v>
      </c>
      <c r="AN111" s="14" t="n">
        <f aca="false" t="array" ref="AN111:AN111">SUM(IF(AF111:AJ111,1,0))</f>
        <v>0</v>
      </c>
      <c r="AO111" s="1" t="n">
        <f aca="false">FALSE()</f>
        <v>0</v>
      </c>
      <c r="AP111" s="1" t="n">
        <f aca="false">IF(O111 = 2,COUNTIF(Q111:AJ111,"TRUE"),-1)</f>
        <v>1</v>
      </c>
    </row>
    <row r="112" customFormat="false" ht="15.75" hidden="false" customHeight="false" outlineLevel="0" collapsed="false">
      <c r="A112" s="8" t="e">
        <f aca="true">INDIRECT("'Ответы на форму (1)'!A"&amp;$N112,TRUE())</f>
        <v>#REF!</v>
      </c>
      <c r="B112" s="0" t="e">
        <f aca="true">INDIRECT("'Ответы на форму (1)'!B"&amp;$N112,TRUE())</f>
        <v>#REF!</v>
      </c>
      <c r="C112" s="0" t="e">
        <f aca="true">INDIRECT("'Ответы на форму (1)'!C"&amp;$N112,TRUE())</f>
        <v>#REF!</v>
      </c>
      <c r="D112" s="0" t="e">
        <f aca="true">INDIRECT("'Ответы на форму (1)'!D"&amp;$N112,TRUE())</f>
        <v>#REF!</v>
      </c>
      <c r="E112" s="0" t="n">
        <f aca="false">IFERROR(__xludf.dummyfunction("iferror(VALUE(REGEXEXTRACT(TEXT(INDIRECT(""'Ответы на форму (1)'!E""&amp;$N112,TRUE),""####""),""[0-9]+"")),IF(IFERROR(SEARCH(""моцро"",INDIRECT(""'Ответы на форму (1)'!E""&amp;$N112,TRUE)),-1) &gt;= 0,117,INDIRECT(""'Ответы на форму (1)'!E""&amp;$N112,TRUE)))"),117)</f>
        <v>117</v>
      </c>
      <c r="F112" s="0" t="e">
        <f aca="true">INDIRECT("'Ответы на форму (1)'!F"&amp;$N112,TRUE())</f>
        <v>#REF!</v>
      </c>
      <c r="G112" s="9" t="e">
        <f aca="true">IFERROR(MID(INDIRECT("'Ответы на форму (1)'!G"&amp;$N112,TRUE()),SEARCH("vk.com",INDIRECT("'Ответы на форму (1)'!G"&amp;$N112,TRUE())),LEN(INDIRECT("'Ответы на форму (1)'!G"&amp;$N112,TRUE()))),INDIRECT("'Ответы на форму (1)'!G"&amp;$N112,TRUE()))</f>
        <v>#REF!</v>
      </c>
      <c r="H112" s="0" t="e">
        <f aca="true">INDIRECT("'Ответы на форму (1)'!H"&amp;$N112,TRUE())</f>
        <v>#REF!</v>
      </c>
      <c r="I112" s="12" t="e">
        <f aca="true">INDIRECT("'Ответы на форму (1)'!I"&amp;$N112,TRUE())</f>
        <v>#REF!</v>
      </c>
      <c r="J112" s="12" t="e">
        <f aca="true">INDIRECT("'Ответы на форму (1)'!J"&amp;$N112,TRUE())</f>
        <v>#REF!</v>
      </c>
      <c r="K112" s="12" t="e">
        <f aca="true">INDIRECT("'Ответы на форму (1)'!K"&amp;$N112,TRUE())</f>
        <v>#REF!</v>
      </c>
      <c r="L112" s="12" t="e">
        <f aca="true">INDIRECT("'Ответы на форму (1)'!L"&amp;$N112,TRUE())</f>
        <v>#REF!</v>
      </c>
      <c r="M112" s="0" t="e">
        <f aca="false" t="array" ref="M112:M112">IF(B112 &lt;&gt; "",IF(COUNTIF(concat(TRIM('Список прошлого года'!$B$2:$B$200),TRIM('Список прошлого года'!$C$2:$C$200)),concat(TRIM(B112),TRIM(C112))) &gt; 0,"Да","Нет"),"")</f>
        <v>#REF!</v>
      </c>
      <c r="N112" s="1" t="n">
        <v>124</v>
      </c>
      <c r="O112" s="1" t="n">
        <v>2</v>
      </c>
      <c r="Q112" s="1" t="n">
        <f aca="false">TRUE()</f>
        <v>1</v>
      </c>
      <c r="R112" s="1" t="n">
        <f aca="false">TRUE()</f>
        <v>1</v>
      </c>
      <c r="S112" s="1" t="n">
        <f aca="false">TRUE()</f>
        <v>1</v>
      </c>
      <c r="T112" s="1" t="n">
        <f aca="false">TRUE()</f>
        <v>1</v>
      </c>
      <c r="U112" s="1" t="n">
        <f aca="false">TRUE()</f>
        <v>1</v>
      </c>
      <c r="V112" s="1" t="n">
        <f aca="false">TRUE()</f>
        <v>1</v>
      </c>
      <c r="W112" s="1" t="n">
        <f aca="false">TRUE()</f>
        <v>1</v>
      </c>
      <c r="X112" s="1" t="n">
        <f aca="false">TRUE()</f>
        <v>1</v>
      </c>
      <c r="Y112" s="1" t="n">
        <f aca="false">TRUE()</f>
        <v>1</v>
      </c>
      <c r="Z112" s="1" t="n">
        <f aca="false">TRUE()</f>
        <v>1</v>
      </c>
      <c r="AA112" s="1" t="n">
        <f aca="false">TRUE()</f>
        <v>1</v>
      </c>
      <c r="AB112" s="1" t="n">
        <f aca="false">TRUE()</f>
        <v>1</v>
      </c>
      <c r="AC112" s="1" t="n">
        <f aca="false">TRUE()</f>
        <v>1</v>
      </c>
      <c r="AD112" s="1" t="n">
        <f aca="false">TRUE()</f>
        <v>1</v>
      </c>
      <c r="AE112" s="1" t="n">
        <f aca="false">TRUE()</f>
        <v>1</v>
      </c>
      <c r="AF112" s="1" t="n">
        <f aca="false">TRUE()</f>
        <v>1</v>
      </c>
      <c r="AG112" s="1" t="n">
        <f aca="false">TRUE()</f>
        <v>1</v>
      </c>
      <c r="AH112" s="1" t="n">
        <f aca="false">TRUE()</f>
        <v>1</v>
      </c>
      <c r="AI112" s="1" t="n">
        <f aca="false">TRUE()</f>
        <v>1</v>
      </c>
      <c r="AJ112" s="1" t="n">
        <f aca="false">TRUE()</f>
        <v>1</v>
      </c>
      <c r="AK112" s="1" t="n">
        <f aca="false" t="array" ref="AK112:AK112">SUM(IF(Q112:U112,1,0))</f>
        <v>5</v>
      </c>
      <c r="AL112" s="14" t="n">
        <f aca="false" t="array" ref="AL112:AL112">SUM(IF(V112:Z112,1,0))</f>
        <v>5</v>
      </c>
      <c r="AM112" s="14" t="n">
        <f aca="false" t="array" ref="AM112:AM112">SUM(IF(AA112:AE112,1,0))</f>
        <v>5</v>
      </c>
      <c r="AN112" s="14" t="n">
        <f aca="false" t="array" ref="AN112:AN112">SUM(IF(AF112:AJ112,1,0))</f>
        <v>5</v>
      </c>
      <c r="AO112" s="1" t="n">
        <f aca="false">FALSE()</f>
        <v>0</v>
      </c>
      <c r="AP112" s="1" t="n">
        <f aca="false">IF(O112 = 2,COUNTIF(Q112:AJ112,"TRUE"),-1)</f>
        <v>20</v>
      </c>
    </row>
    <row r="113" customFormat="false" ht="15.75" hidden="false" customHeight="false" outlineLevel="0" collapsed="false">
      <c r="A113" s="8" t="e">
        <f aca="true">INDIRECT("'Ответы на форму (1)'!A"&amp;$N113,TRUE())</f>
        <v>#REF!</v>
      </c>
      <c r="B113" s="0" t="e">
        <f aca="true">INDIRECT("'Ответы на форму (1)'!B"&amp;$N113,TRUE())</f>
        <v>#REF!</v>
      </c>
      <c r="C113" s="0" t="e">
        <f aca="true">INDIRECT("'Ответы на форму (1)'!C"&amp;$N113,TRUE())</f>
        <v>#REF!</v>
      </c>
      <c r="D113" s="0" t="e">
        <f aca="true">INDIRECT("'Ответы на форму (1)'!D"&amp;$N113,TRUE())</f>
        <v>#REF!</v>
      </c>
      <c r="E113" s="0" t="n">
        <f aca="false">IFERROR(__xludf.dummyfunction("iferror(VALUE(REGEXEXTRACT(TEXT(INDIRECT(""'Ответы на форму (1)'!E""&amp;$N113,TRUE),""####""),""[0-9]+"")),IF(IFERROR(SEARCH(""моцро"",INDIRECT(""'Ответы на форму (1)'!E""&amp;$N113,TRUE)),-1) &gt;= 0,117,INDIRECT(""'Ответы на форму (1)'!E""&amp;$N113,TRUE)))"),140)</f>
        <v>140</v>
      </c>
      <c r="F113" s="0" t="e">
        <f aca="true">INDIRECT("'Ответы на форму (1)'!F"&amp;$N113,TRUE())</f>
        <v>#REF!</v>
      </c>
      <c r="G113" s="9" t="e">
        <f aca="true">IFERROR(MID(INDIRECT("'Ответы на форму (1)'!G"&amp;$N113,TRUE()),SEARCH("vk.com",INDIRECT("'Ответы на форму (1)'!G"&amp;$N113,TRUE())),LEN(INDIRECT("'Ответы на форму (1)'!G"&amp;$N113,TRUE()))),INDIRECT("'Ответы на форму (1)'!G"&amp;$N113,TRUE()))</f>
        <v>#REF!</v>
      </c>
      <c r="H113" s="0" t="e">
        <f aca="true">INDIRECT("'Ответы на форму (1)'!H"&amp;$N113,TRUE())</f>
        <v>#REF!</v>
      </c>
      <c r="I113" s="12" t="e">
        <f aca="true">INDIRECT("'Ответы на форму (1)'!I"&amp;$N113,TRUE())</f>
        <v>#REF!</v>
      </c>
      <c r="J113" s="12" t="e">
        <f aca="true">INDIRECT("'Ответы на форму (1)'!J"&amp;$N113,TRUE())</f>
        <v>#REF!</v>
      </c>
      <c r="K113" s="12" t="e">
        <f aca="true">INDIRECT("'Ответы на форму (1)'!K"&amp;$N113,TRUE())</f>
        <v>#REF!</v>
      </c>
      <c r="L113" s="12" t="e">
        <f aca="true">INDIRECT("'Ответы на форму (1)'!L"&amp;$N113,TRUE())</f>
        <v>#REF!</v>
      </c>
      <c r="M113" s="0" t="e">
        <f aca="false" t="array" ref="M113:M113">IF(B113 &lt;&gt; "",IF(COUNTIF(concat(TRIM('Список прошлого года'!$B$2:$B$200),TRIM('Список прошлого года'!$C$2:$C$200)),concat(TRIM(B113),TRIM(C113))) &gt; 0,"Да","Нет"),"")</f>
        <v>#REF!</v>
      </c>
      <c r="N113" s="1" t="n">
        <v>125</v>
      </c>
      <c r="O113" s="1" t="n">
        <v>2</v>
      </c>
      <c r="Q113" s="1" t="n">
        <f aca="false">TRUE()</f>
        <v>1</v>
      </c>
      <c r="R113" s="1" t="n">
        <f aca="false">TRUE()</f>
        <v>1</v>
      </c>
      <c r="S113" s="1" t="n">
        <f aca="false">TRUE()</f>
        <v>1</v>
      </c>
      <c r="T113" s="1" t="n">
        <f aca="false">TRUE()</f>
        <v>1</v>
      </c>
      <c r="U113" s="1" t="n">
        <f aca="false">TRUE()</f>
        <v>1</v>
      </c>
      <c r="V113" s="1" t="n">
        <f aca="false">TRUE()</f>
        <v>1</v>
      </c>
      <c r="W113" s="1" t="n">
        <f aca="false">TRUE()</f>
        <v>1</v>
      </c>
      <c r="X113" s="1" t="n">
        <f aca="false">TRUE()</f>
        <v>1</v>
      </c>
      <c r="Y113" s="1" t="n">
        <f aca="false">FALSE()</f>
        <v>0</v>
      </c>
      <c r="Z113" s="1" t="n">
        <f aca="false">TRUE()</f>
        <v>1</v>
      </c>
      <c r="AA113" s="1" t="n">
        <f aca="false">TRUE()</f>
        <v>1</v>
      </c>
      <c r="AB113" s="1" t="n">
        <f aca="false">TRUE()</f>
        <v>1</v>
      </c>
      <c r="AC113" s="1" t="n">
        <f aca="false">TRUE()</f>
        <v>1</v>
      </c>
      <c r="AD113" s="1" t="n">
        <f aca="false">TRUE()</f>
        <v>1</v>
      </c>
      <c r="AE113" s="1" t="n">
        <f aca="false">TRUE()</f>
        <v>1</v>
      </c>
      <c r="AF113" s="1" t="n">
        <f aca="false">TRUE()</f>
        <v>1</v>
      </c>
      <c r="AG113" s="1" t="n">
        <f aca="false">TRUE()</f>
        <v>1</v>
      </c>
      <c r="AH113" s="1" t="n">
        <f aca="false">FALSE()</f>
        <v>0</v>
      </c>
      <c r="AI113" s="1" t="n">
        <f aca="false">FALSE()</f>
        <v>0</v>
      </c>
      <c r="AJ113" s="1" t="n">
        <f aca="false">FALSE()</f>
        <v>0</v>
      </c>
      <c r="AK113" s="1" t="n">
        <f aca="false" t="array" ref="AK113:AK113">SUM(IF(Q113:U113,1,0))</f>
        <v>5</v>
      </c>
      <c r="AL113" s="14" t="n">
        <f aca="false" t="array" ref="AL113:AL113">SUM(IF(V113:Z113,1,0))</f>
        <v>4</v>
      </c>
      <c r="AM113" s="14" t="n">
        <f aca="false" t="array" ref="AM113:AM113">SUM(IF(AA113:AE113,1,0))</f>
        <v>5</v>
      </c>
      <c r="AN113" s="14" t="n">
        <f aca="false" t="array" ref="AN113:AN113">SUM(IF(AF113:AJ113,1,0))</f>
        <v>2</v>
      </c>
      <c r="AO113" s="1" t="n">
        <f aca="false">FALSE()</f>
        <v>0</v>
      </c>
      <c r="AP113" s="1" t="n">
        <f aca="false">IF(O113 = 2,COUNTIF(Q113:AJ113,"TRUE"),-1)</f>
        <v>16</v>
      </c>
    </row>
    <row r="114" customFormat="false" ht="15.75" hidden="false" customHeight="false" outlineLevel="0" collapsed="false">
      <c r="A114" s="8" t="e">
        <f aca="true">INDIRECT("'Ответы на форму (1)'!A"&amp;$N114,TRUE())</f>
        <v>#REF!</v>
      </c>
      <c r="B114" s="0" t="e">
        <f aca="true">INDIRECT("'Ответы на форму (1)'!B"&amp;$N114,TRUE())</f>
        <v>#REF!</v>
      </c>
      <c r="C114" s="0" t="e">
        <f aca="true">INDIRECT("'Ответы на форму (1)'!C"&amp;$N114,TRUE())</f>
        <v>#REF!</v>
      </c>
      <c r="D114" s="0" t="e">
        <f aca="true">INDIRECT("'Ответы на форму (1)'!D"&amp;$N114,TRUE())</f>
        <v>#REF!</v>
      </c>
      <c r="E114" s="0" t="n">
        <f aca="false">IFERROR(__xludf.dummyfunction("iferror(VALUE(REGEXEXTRACT(TEXT(INDIRECT(""'Ответы на форму (1)'!E""&amp;$N114,TRUE),""####""),""[0-9]+"")),IF(IFERROR(SEARCH(""моцро"",INDIRECT(""'Ответы на форму (1)'!E""&amp;$N114,TRUE)),-1) &gt;= 0,117,INDIRECT(""'Ответы на форму (1)'!E""&amp;$N114,TRUE)))"),117)</f>
        <v>117</v>
      </c>
      <c r="F114" s="0" t="e">
        <f aca="true">INDIRECT("'Ответы на форму (1)'!F"&amp;$N114,TRUE())</f>
        <v>#REF!</v>
      </c>
      <c r="G114" s="9" t="e">
        <f aca="true">IFERROR(MID(INDIRECT("'Ответы на форму (1)'!G"&amp;$N114,TRUE()),SEARCH("vk.com",INDIRECT("'Ответы на форму (1)'!G"&amp;$N114,TRUE())),LEN(INDIRECT("'Ответы на форму (1)'!G"&amp;$N114,TRUE()))),INDIRECT("'Ответы на форму (1)'!G"&amp;$N114,TRUE()))</f>
        <v>#REF!</v>
      </c>
      <c r="H114" s="0" t="e">
        <f aca="true">INDIRECT("'Ответы на форму (1)'!H"&amp;$N114,TRUE())</f>
        <v>#REF!</v>
      </c>
      <c r="I114" s="12" t="e">
        <f aca="true">INDIRECT("'Ответы на форму (1)'!I"&amp;$N114,TRUE())</f>
        <v>#REF!</v>
      </c>
      <c r="J114" s="12" t="e">
        <f aca="true">INDIRECT("'Ответы на форму (1)'!J"&amp;$N114,TRUE())</f>
        <v>#REF!</v>
      </c>
      <c r="K114" s="12" t="e">
        <f aca="true">INDIRECT("'Ответы на форму (1)'!K"&amp;$N114,TRUE())</f>
        <v>#REF!</v>
      </c>
      <c r="L114" s="12" t="e">
        <f aca="true">INDIRECT("'Ответы на форму (1)'!L"&amp;$N114,TRUE())</f>
        <v>#REF!</v>
      </c>
      <c r="M114" s="0" t="e">
        <f aca="false" t="array" ref="M114:M114">IF(B114 &lt;&gt; "",IF(COUNTIF(concat(TRIM('Список прошлого года'!$B$2:$B$200),TRIM('Список прошлого года'!$C$2:$C$200)),concat(TRIM(B114),TRIM(C114))) &gt; 0,"Да","Нет"),"")</f>
        <v>#REF!</v>
      </c>
      <c r="N114" s="1" t="n">
        <v>126</v>
      </c>
      <c r="O114" s="1" t="n">
        <v>2</v>
      </c>
      <c r="Q114" s="1" t="n">
        <f aca="false">FALSE()</f>
        <v>0</v>
      </c>
      <c r="R114" s="1" t="n">
        <f aca="false">FALSE()</f>
        <v>0</v>
      </c>
      <c r="S114" s="1" t="n">
        <f aca="false">FALSE()</f>
        <v>0</v>
      </c>
      <c r="T114" s="1" t="n">
        <f aca="false">FALSE()</f>
        <v>0</v>
      </c>
      <c r="U114" s="1" t="n">
        <f aca="false">FALSE()</f>
        <v>0</v>
      </c>
      <c r="V114" s="1" t="n">
        <f aca="false">TRUE()</f>
        <v>1</v>
      </c>
      <c r="W114" s="1" t="n">
        <f aca="false">FALSE()</f>
        <v>0</v>
      </c>
      <c r="X114" s="1" t="n">
        <f aca="false">FALSE()</f>
        <v>0</v>
      </c>
      <c r="Y114" s="1" t="n">
        <f aca="false">FALSE()</f>
        <v>0</v>
      </c>
      <c r="Z114" s="1" t="n">
        <f aca="false">FALSE()</f>
        <v>0</v>
      </c>
      <c r="AA114" s="1" t="n">
        <f aca="false">TRUE()</f>
        <v>1</v>
      </c>
      <c r="AB114" s="1" t="n">
        <f aca="false">FALSE()</f>
        <v>0</v>
      </c>
      <c r="AC114" s="1" t="n">
        <f aca="false">FALSE()</f>
        <v>0</v>
      </c>
      <c r="AD114" s="1" t="n">
        <f aca="false">FALSE()</f>
        <v>0</v>
      </c>
      <c r="AE114" s="1" t="n">
        <f aca="false">FALSE()</f>
        <v>0</v>
      </c>
      <c r="AF114" s="1" t="n">
        <f aca="false">FALSE()</f>
        <v>0</v>
      </c>
      <c r="AG114" s="1" t="n">
        <f aca="false">FALSE()</f>
        <v>0</v>
      </c>
      <c r="AH114" s="1" t="n">
        <f aca="false">FALSE()</f>
        <v>0</v>
      </c>
      <c r="AI114" s="1" t="n">
        <f aca="false">FALSE()</f>
        <v>0</v>
      </c>
      <c r="AJ114" s="1" t="n">
        <f aca="false">FALSE()</f>
        <v>0</v>
      </c>
      <c r="AK114" s="1" t="n">
        <f aca="false" t="array" ref="AK114:AK114">SUM(IF(Q114:U114,1,0))</f>
        <v>0</v>
      </c>
      <c r="AL114" s="14" t="n">
        <f aca="false" t="array" ref="AL114:AL114">SUM(IF(V114:Z114,1,0))</f>
        <v>1</v>
      </c>
      <c r="AM114" s="14" t="n">
        <f aca="false" t="array" ref="AM114:AM114">SUM(IF(AA114:AE114,1,0))</f>
        <v>1</v>
      </c>
      <c r="AN114" s="14" t="n">
        <f aca="false" t="array" ref="AN114:AN114">SUM(IF(AF114:AJ114,1,0))</f>
        <v>0</v>
      </c>
      <c r="AO114" s="1" t="n">
        <f aca="false">FALSE()</f>
        <v>0</v>
      </c>
      <c r="AP114" s="1" t="n">
        <f aca="false">IF(O114 = 2,COUNTIF(Q114:AJ114,"TRUE"),-1)</f>
        <v>2</v>
      </c>
    </row>
    <row r="115" customFormat="false" ht="15.75" hidden="false" customHeight="false" outlineLevel="0" collapsed="false">
      <c r="A115" s="8" t="e">
        <f aca="true">INDIRECT("'Ответы на форму (1)'!A"&amp;$N115,TRUE())</f>
        <v>#REF!</v>
      </c>
      <c r="B115" s="0" t="e">
        <f aca="true">INDIRECT("'Ответы на форму (1)'!B"&amp;$N115,TRUE())</f>
        <v>#REF!</v>
      </c>
      <c r="C115" s="0" t="e">
        <f aca="true">INDIRECT("'Ответы на форму (1)'!C"&amp;$N115,TRUE())</f>
        <v>#REF!</v>
      </c>
      <c r="D115" s="0" t="e">
        <f aca="true">INDIRECT("'Ответы на форму (1)'!D"&amp;$N115,TRUE())</f>
        <v>#REF!</v>
      </c>
      <c r="E115" s="0" t="n">
        <f aca="false">IFERROR(__xludf.dummyfunction("iferror(VALUE(REGEXEXTRACT(TEXT(INDIRECT(""'Ответы на форму (1)'!E""&amp;$N115,TRUE),""####""),""[0-9]+"")),IF(IFERROR(SEARCH(""моцро"",INDIRECT(""'Ответы на форму (1)'!E""&amp;$N115,TRUE)),-1) &gt;= 0,117,INDIRECT(""'Ответы на форму (1)'!E""&amp;$N115,TRUE)))"),140)</f>
        <v>140</v>
      </c>
      <c r="F115" s="0" t="e">
        <f aca="true">INDIRECT("'Ответы на форму (1)'!F"&amp;$N115,TRUE())</f>
        <v>#REF!</v>
      </c>
      <c r="G115" s="9" t="e">
        <f aca="true">IFERROR(MID(INDIRECT("'Ответы на форму (1)'!G"&amp;$N115,TRUE()),SEARCH("vk.com",INDIRECT("'Ответы на форму (1)'!G"&amp;$N115,TRUE())),LEN(INDIRECT("'Ответы на форму (1)'!G"&amp;$N115,TRUE()))),INDIRECT("'Ответы на форму (1)'!G"&amp;$N115,TRUE()))</f>
        <v>#REF!</v>
      </c>
      <c r="H115" s="0" t="e">
        <f aca="true">INDIRECT("'Ответы на форму (1)'!H"&amp;$N115,TRUE())</f>
        <v>#REF!</v>
      </c>
      <c r="I115" s="12" t="e">
        <f aca="true">INDIRECT("'Ответы на форму (1)'!I"&amp;$N115,TRUE())</f>
        <v>#REF!</v>
      </c>
      <c r="J115" s="12" t="e">
        <f aca="true">INDIRECT("'Ответы на форму (1)'!J"&amp;$N115,TRUE())</f>
        <v>#REF!</v>
      </c>
      <c r="K115" s="12" t="e">
        <f aca="true">INDIRECT("'Ответы на форму (1)'!K"&amp;$N115,TRUE())</f>
        <v>#REF!</v>
      </c>
      <c r="L115" s="12" t="e">
        <f aca="true">INDIRECT("'Ответы на форму (1)'!L"&amp;$N115,TRUE())</f>
        <v>#REF!</v>
      </c>
      <c r="M115" s="0" t="e">
        <f aca="false" t="array" ref="M115:M115">IF(B115 &lt;&gt; "",IF(COUNTIF(concat(TRIM('Список прошлого года'!$B$2:$B$200),TRIM('Список прошлого года'!$C$2:$C$200)),concat(TRIM(B115),TRIM(C115))) &gt; 0,"Да","Нет"),"")</f>
        <v>#REF!</v>
      </c>
      <c r="N115" s="1" t="n">
        <v>128</v>
      </c>
      <c r="O115" s="1" t="n">
        <v>2</v>
      </c>
      <c r="Q115" s="1" t="n">
        <f aca="false">TRUE()</f>
        <v>1</v>
      </c>
      <c r="R115" s="1" t="n">
        <f aca="false">TRUE()</f>
        <v>1</v>
      </c>
      <c r="S115" s="1" t="n">
        <f aca="false">FALSE()</f>
        <v>0</v>
      </c>
      <c r="T115" s="1" t="n">
        <f aca="false">TRUE()</f>
        <v>1</v>
      </c>
      <c r="U115" s="1" t="n">
        <f aca="false">TRUE()</f>
        <v>1</v>
      </c>
      <c r="V115" s="1" t="n">
        <f aca="false">TRUE()</f>
        <v>1</v>
      </c>
      <c r="W115" s="1" t="n">
        <f aca="false">TRUE()</f>
        <v>1</v>
      </c>
      <c r="X115" s="1" t="n">
        <f aca="false">FALSE()</f>
        <v>0</v>
      </c>
      <c r="Y115" s="1" t="n">
        <f aca="false">TRUE()</f>
        <v>1</v>
      </c>
      <c r="Z115" s="1" t="n">
        <f aca="false">TRUE()</f>
        <v>1</v>
      </c>
      <c r="AA115" s="1" t="n">
        <f aca="false">TRUE()</f>
        <v>1</v>
      </c>
      <c r="AB115" s="1" t="n">
        <f aca="false">TRUE()</f>
        <v>1</v>
      </c>
      <c r="AC115" s="1" t="n">
        <f aca="false">FALSE()</f>
        <v>0</v>
      </c>
      <c r="AD115" s="1" t="n">
        <f aca="false">TRUE()</f>
        <v>1</v>
      </c>
      <c r="AE115" s="1" t="n">
        <f aca="false">FALSE()</f>
        <v>0</v>
      </c>
      <c r="AF115" s="1" t="n">
        <f aca="false">TRUE()</f>
        <v>1</v>
      </c>
      <c r="AG115" s="1" t="n">
        <f aca="false">TRUE()</f>
        <v>1</v>
      </c>
      <c r="AH115" s="1" t="n">
        <f aca="false">FALSE()</f>
        <v>0</v>
      </c>
      <c r="AI115" s="1" t="n">
        <f aca="false">TRUE()</f>
        <v>1</v>
      </c>
      <c r="AJ115" s="1" t="n">
        <f aca="false">FALSE()</f>
        <v>0</v>
      </c>
      <c r="AK115" s="1" t="n">
        <f aca="false" t="array" ref="AK115:AK115">SUM(IF(Q115:U115,1,0))</f>
        <v>4</v>
      </c>
      <c r="AL115" s="14" t="n">
        <f aca="false" t="array" ref="AL115:AL115">SUM(IF(V115:Z115,1,0))</f>
        <v>4</v>
      </c>
      <c r="AM115" s="14" t="n">
        <f aca="false" t="array" ref="AM115:AM115">SUM(IF(AA115:AE115,1,0))</f>
        <v>3</v>
      </c>
      <c r="AN115" s="14" t="n">
        <f aca="false" t="array" ref="AN115:AN115">SUM(IF(AF115:AJ115,1,0))</f>
        <v>3</v>
      </c>
      <c r="AO115" s="1" t="n">
        <f aca="false">FALSE()</f>
        <v>0</v>
      </c>
      <c r="AP115" s="1" t="n">
        <f aca="false">IF(O115 = 2,COUNTIF(Q115:AJ115,"TRUE"),-1)</f>
        <v>14</v>
      </c>
    </row>
    <row r="116" customFormat="false" ht="15.75" hidden="false" customHeight="false" outlineLevel="0" collapsed="false">
      <c r="A116" s="8" t="e">
        <f aca="true">INDIRECT("'Ответы на форму (1)'!A"&amp;$N116,TRUE())</f>
        <v>#REF!</v>
      </c>
      <c r="B116" s="0" t="e">
        <f aca="true">INDIRECT("'Ответы на форму (1)'!B"&amp;$N116,TRUE())</f>
        <v>#REF!</v>
      </c>
      <c r="C116" s="0" t="e">
        <f aca="true">INDIRECT("'Ответы на форму (1)'!C"&amp;$N116,TRUE())</f>
        <v>#REF!</v>
      </c>
      <c r="D116" s="0" t="e">
        <f aca="true">INDIRECT("'Ответы на форму (1)'!D"&amp;$N116,TRUE())</f>
        <v>#REF!</v>
      </c>
      <c r="E116" s="0" t="n">
        <f aca="false">IFERROR(__xludf.dummyfunction("iferror(VALUE(REGEXEXTRACT(TEXT(INDIRECT(""'Ответы на форму (1)'!E""&amp;$N116,TRUE),""####""),""[0-9]+"")),IF(IFERROR(SEARCH(""моцро"",INDIRECT(""'Ответы на форму (1)'!E""&amp;$N116,TRUE)),-1) &gt;= 0,117,INDIRECT(""'Ответы на форму (1)'!E""&amp;$N116,TRUE)))"),26)</f>
        <v>26</v>
      </c>
      <c r="F116" s="0" t="e">
        <f aca="true">INDIRECT("'Ответы на форму (1)'!F"&amp;$N116,TRUE())</f>
        <v>#REF!</v>
      </c>
      <c r="G116" s="9" t="e">
        <f aca="true">IFERROR(MID(INDIRECT("'Ответы на форму (1)'!G"&amp;$N116,TRUE()),SEARCH("vk.com",INDIRECT("'Ответы на форму (1)'!G"&amp;$N116,TRUE())),LEN(INDIRECT("'Ответы на форму (1)'!G"&amp;$N116,TRUE()))),INDIRECT("'Ответы на форму (1)'!G"&amp;$N116,TRUE()))</f>
        <v>#REF!</v>
      </c>
      <c r="H116" s="0" t="e">
        <f aca="true">INDIRECT("'Ответы на форму (1)'!H"&amp;$N116,TRUE())</f>
        <v>#REF!</v>
      </c>
      <c r="I116" s="12" t="e">
        <f aca="true">INDIRECT("'Ответы на форму (1)'!I"&amp;$N116,TRUE())</f>
        <v>#REF!</v>
      </c>
      <c r="J116" s="12" t="e">
        <f aca="true">INDIRECT("'Ответы на форму (1)'!J"&amp;$N116,TRUE())</f>
        <v>#REF!</v>
      </c>
      <c r="K116" s="12" t="e">
        <f aca="true">INDIRECT("'Ответы на форму (1)'!K"&amp;$N116,TRUE())</f>
        <v>#REF!</v>
      </c>
      <c r="L116" s="12" t="e">
        <f aca="true">INDIRECT("'Ответы на форму (1)'!L"&amp;$N116,TRUE())</f>
        <v>#REF!</v>
      </c>
      <c r="M116" s="0" t="e">
        <f aca="false" t="array" ref="M116:M116">IF(B116 &lt;&gt; "",IF(COUNTIF(concat(TRIM('Список прошлого года'!$B$2:$B$200),TRIM('Список прошлого года'!$C$2:$C$200)),concat(TRIM(B116),TRIM(C116))) &gt; 0,"Да","Нет"),"")</f>
        <v>#REF!</v>
      </c>
      <c r="N116" s="1" t="n">
        <v>129</v>
      </c>
      <c r="O116" s="1" t="n">
        <v>2</v>
      </c>
      <c r="Q116" s="1" t="n">
        <f aca="false">TRUE()</f>
        <v>1</v>
      </c>
      <c r="R116" s="1" t="n">
        <f aca="false">TRUE()</f>
        <v>1</v>
      </c>
      <c r="S116" s="1" t="n">
        <f aca="false">TRUE()</f>
        <v>1</v>
      </c>
      <c r="T116" s="1" t="n">
        <f aca="false">TRUE()</f>
        <v>1</v>
      </c>
      <c r="U116" s="1" t="n">
        <f aca="false">TRUE()</f>
        <v>1</v>
      </c>
      <c r="V116" s="1" t="n">
        <f aca="false">TRUE()</f>
        <v>1</v>
      </c>
      <c r="W116" s="1" t="n">
        <f aca="false">TRUE()</f>
        <v>1</v>
      </c>
      <c r="X116" s="1" t="n">
        <f aca="false">TRUE()</f>
        <v>1</v>
      </c>
      <c r="Y116" s="1" t="n">
        <f aca="false">TRUE()</f>
        <v>1</v>
      </c>
      <c r="Z116" s="1" t="n">
        <f aca="false">TRUE()</f>
        <v>1</v>
      </c>
      <c r="AA116" s="1" t="n">
        <f aca="false">TRUE()</f>
        <v>1</v>
      </c>
      <c r="AB116" s="1" t="n">
        <f aca="false">TRUE()</f>
        <v>1</v>
      </c>
      <c r="AC116" s="1" t="n">
        <f aca="false">TRUE()</f>
        <v>1</v>
      </c>
      <c r="AD116" s="1" t="n">
        <f aca="false">TRUE()</f>
        <v>1</v>
      </c>
      <c r="AE116" s="1" t="n">
        <f aca="false">TRUE()</f>
        <v>1</v>
      </c>
      <c r="AF116" s="1" t="n">
        <f aca="false">TRUE()</f>
        <v>1</v>
      </c>
      <c r="AG116" s="1" t="n">
        <f aca="false">TRUE()</f>
        <v>1</v>
      </c>
      <c r="AH116" s="1" t="n">
        <f aca="false">TRUE()</f>
        <v>1</v>
      </c>
      <c r="AI116" s="1" t="n">
        <f aca="false">TRUE()</f>
        <v>1</v>
      </c>
      <c r="AJ116" s="1" t="n">
        <f aca="false">TRUE()</f>
        <v>1</v>
      </c>
      <c r="AK116" s="1" t="n">
        <f aca="false" t="array" ref="AK116:AK116">SUM(IF(Q116:U116,1,0))</f>
        <v>5</v>
      </c>
      <c r="AL116" s="14" t="n">
        <f aca="false" t="array" ref="AL116:AL116">SUM(IF(V116:Z116,1,0))</f>
        <v>5</v>
      </c>
      <c r="AM116" s="14" t="n">
        <f aca="false" t="array" ref="AM116:AM116">SUM(IF(AA116:AE116,1,0))</f>
        <v>5</v>
      </c>
      <c r="AN116" s="14" t="n">
        <f aca="false" t="array" ref="AN116:AN116">SUM(IF(AF116:AJ116,1,0))</f>
        <v>5</v>
      </c>
      <c r="AO116" s="1" t="n">
        <f aca="false">FALSE()</f>
        <v>0</v>
      </c>
      <c r="AP116" s="1" t="n">
        <f aca="false">IF(O116 = 2,COUNTIF(Q116:AJ116,"TRUE"),-1)</f>
        <v>20</v>
      </c>
    </row>
    <row r="117" customFormat="false" ht="15.75" hidden="false" customHeight="false" outlineLevel="0" collapsed="false">
      <c r="A117" s="8" t="e">
        <f aca="true">INDIRECT("'Ответы на форму (1)'!A"&amp;$N117,TRUE())</f>
        <v>#REF!</v>
      </c>
      <c r="B117" s="0" t="e">
        <f aca="true">INDIRECT("'Ответы на форму (1)'!B"&amp;$N117,TRUE())</f>
        <v>#REF!</v>
      </c>
      <c r="C117" s="0" t="e">
        <f aca="true">INDIRECT("'Ответы на форму (1)'!C"&amp;$N117,TRUE())</f>
        <v>#REF!</v>
      </c>
      <c r="D117" s="0" t="e">
        <f aca="true">INDIRECT("'Ответы на форму (1)'!D"&amp;$N117,TRUE())</f>
        <v>#REF!</v>
      </c>
      <c r="E117" s="0" t="n">
        <f aca="false">IFERROR(__xludf.dummyfunction("iferror(VALUE(REGEXEXTRACT(TEXT(INDIRECT(""'Ответы на форму (1)'!E""&amp;$N117,TRUE),""####""),""[0-9]+"")),IF(IFERROR(SEARCH(""моцро"",INDIRECT(""'Ответы на форму (1)'!E""&amp;$N117,TRUE)),-1) &gt;= 0,117,INDIRECT(""'Ответы на форму (1)'!E""&amp;$N117,TRUE)))"),84)</f>
        <v>84</v>
      </c>
      <c r="F117" s="0" t="e">
        <f aca="true">INDIRECT("'Ответы на форму (1)'!F"&amp;$N117,TRUE())</f>
        <v>#REF!</v>
      </c>
      <c r="G117" s="9" t="e">
        <f aca="true">IFERROR(MID(INDIRECT("'Ответы на форму (1)'!G"&amp;$N117,TRUE()),SEARCH("vk.com",INDIRECT("'Ответы на форму (1)'!G"&amp;$N117,TRUE())),LEN(INDIRECT("'Ответы на форму (1)'!G"&amp;$N117,TRUE()))),INDIRECT("'Ответы на форму (1)'!G"&amp;$N117,TRUE()))</f>
        <v>#REF!</v>
      </c>
      <c r="H117" s="0" t="e">
        <f aca="true">INDIRECT("'Ответы на форму (1)'!H"&amp;$N117,TRUE())</f>
        <v>#REF!</v>
      </c>
      <c r="I117" s="12" t="e">
        <f aca="true">INDIRECT("'Ответы на форму (1)'!I"&amp;$N117,TRUE())</f>
        <v>#REF!</v>
      </c>
      <c r="J117" s="12" t="e">
        <f aca="true">INDIRECT("'Ответы на форму (1)'!J"&amp;$N117,TRUE())</f>
        <v>#REF!</v>
      </c>
      <c r="K117" s="12" t="e">
        <f aca="true">INDIRECT("'Ответы на форму (1)'!K"&amp;$N117,TRUE())</f>
        <v>#REF!</v>
      </c>
      <c r="L117" s="12" t="e">
        <f aca="true">INDIRECT("'Ответы на форму (1)'!L"&amp;$N117,TRUE())</f>
        <v>#REF!</v>
      </c>
      <c r="M117" s="0" t="e">
        <f aca="false" t="array" ref="M117:M117">IF(B117 &lt;&gt; "",IF(COUNTIF(concat(TRIM('Список прошлого года'!$B$2:$B$200),TRIM('Список прошлого года'!$C$2:$C$200)),concat(TRIM(B117),TRIM(C117))) &gt; 0,"Да","Нет"),"")</f>
        <v>#REF!</v>
      </c>
      <c r="N117" s="1" t="n">
        <v>130</v>
      </c>
      <c r="O117" s="1" t="n">
        <v>1</v>
      </c>
      <c r="Q117" s="1" t="n">
        <f aca="false">TRUE()</f>
        <v>1</v>
      </c>
      <c r="R117" s="1" t="n">
        <f aca="false">TRUE()</f>
        <v>1</v>
      </c>
      <c r="S117" s="1" t="n">
        <f aca="false">TRUE()</f>
        <v>1</v>
      </c>
      <c r="T117" s="1" t="n">
        <f aca="false">TRUE()</f>
        <v>1</v>
      </c>
      <c r="U117" s="1" t="n">
        <f aca="false">TRUE()</f>
        <v>1</v>
      </c>
      <c r="V117" s="1" t="n">
        <f aca="false">TRUE()</f>
        <v>1</v>
      </c>
      <c r="W117" s="1" t="n">
        <f aca="false">TRUE()</f>
        <v>1</v>
      </c>
      <c r="X117" s="1" t="n">
        <f aca="false">TRUE()</f>
        <v>1</v>
      </c>
      <c r="Y117" s="1" t="n">
        <f aca="false">TRUE()</f>
        <v>1</v>
      </c>
      <c r="Z117" s="1" t="n">
        <f aca="false">TRUE()</f>
        <v>1</v>
      </c>
      <c r="AA117" s="1" t="n">
        <f aca="false">FALSE()</f>
        <v>0</v>
      </c>
      <c r="AB117" s="1" t="n">
        <f aca="false">FALSE()</f>
        <v>0</v>
      </c>
      <c r="AC117" s="1" t="n">
        <f aca="false">FALSE()</f>
        <v>0</v>
      </c>
      <c r="AD117" s="1" t="n">
        <f aca="false">FALSE()</f>
        <v>0</v>
      </c>
      <c r="AE117" s="1" t="n">
        <f aca="false">FALSE()</f>
        <v>0</v>
      </c>
      <c r="AF117" s="1" t="n">
        <f aca="false">FALSE()</f>
        <v>0</v>
      </c>
      <c r="AG117" s="1" t="n">
        <f aca="false">FALSE()</f>
        <v>0</v>
      </c>
      <c r="AH117" s="1" t="n">
        <f aca="false">FALSE()</f>
        <v>0</v>
      </c>
      <c r="AI117" s="1" t="n">
        <f aca="false">FALSE()</f>
        <v>0</v>
      </c>
      <c r="AJ117" s="1" t="n">
        <f aca="false">FALSE()</f>
        <v>0</v>
      </c>
      <c r="AK117" s="1" t="n">
        <f aca="false" t="array" ref="AK117:AK117">SUM(IF(Q117:U117,1,0))</f>
        <v>5</v>
      </c>
      <c r="AL117" s="14" t="n">
        <f aca="false" t="array" ref="AL117:AL117">SUM(IF(V117:Z117,1,0))</f>
        <v>5</v>
      </c>
      <c r="AM117" s="14" t="n">
        <f aca="false" t="array" ref="AM117:AM117">SUM(IF(AA117:AE117,1,0))</f>
        <v>0</v>
      </c>
      <c r="AN117" s="14" t="n">
        <f aca="false" t="array" ref="AN117:AN117">SUM(IF(AF117:AJ117,1,0))</f>
        <v>0</v>
      </c>
      <c r="AO117" s="1" t="n">
        <f aca="false">FALSE()</f>
        <v>0</v>
      </c>
      <c r="AP117" s="1" t="n">
        <f aca="false">IF(O117 = 2,COUNTIF(Q117:AJ117,"TRUE"),-1)</f>
        <v>-1</v>
      </c>
    </row>
    <row r="118" customFormat="false" ht="15.75" hidden="false" customHeight="false" outlineLevel="0" collapsed="false">
      <c r="A118" s="8" t="e">
        <f aca="true">INDIRECT("'Ответы на форму (1)'!A"&amp;$N118,TRUE())</f>
        <v>#REF!</v>
      </c>
      <c r="B118" s="0" t="e">
        <f aca="true">INDIRECT("'Ответы на форму (1)'!B"&amp;$N118,TRUE())</f>
        <v>#REF!</v>
      </c>
      <c r="C118" s="0" t="e">
        <f aca="true">INDIRECT("'Ответы на форму (1)'!C"&amp;$N118,TRUE())</f>
        <v>#REF!</v>
      </c>
      <c r="D118" s="0" t="e">
        <f aca="true">INDIRECT("'Ответы на форму (1)'!D"&amp;$N118,TRUE())</f>
        <v>#REF!</v>
      </c>
      <c r="E118" s="0" t="n">
        <f aca="false">IFERROR(__xludf.dummyfunction("iferror(VALUE(REGEXEXTRACT(TEXT(INDIRECT(""'Ответы на форму (1)'!E""&amp;$N118,TRUE),""####""),""[0-9]+"")),IF(IFERROR(SEARCH(""моцро"",INDIRECT(""'Ответы на форму (1)'!E""&amp;$N118,TRUE)),-1) &gt;= 0,117,INDIRECT(""'Ответы на форму (1)'!E""&amp;$N118,TRUE)))"),117)</f>
        <v>117</v>
      </c>
      <c r="F118" s="0" t="e">
        <f aca="true">INDIRECT("'Ответы на форму (1)'!F"&amp;$N118,TRUE())</f>
        <v>#REF!</v>
      </c>
      <c r="G118" s="9" t="e">
        <f aca="true">IFERROR(MID(INDIRECT("'Ответы на форму (1)'!G"&amp;$N118,TRUE()),SEARCH("vk.com",INDIRECT("'Ответы на форму (1)'!G"&amp;$N118,TRUE())),LEN(INDIRECT("'Ответы на форму (1)'!G"&amp;$N118,TRUE()))),INDIRECT("'Ответы на форму (1)'!G"&amp;$N118,TRUE()))</f>
        <v>#REF!</v>
      </c>
      <c r="H118" s="0" t="e">
        <f aca="true">INDIRECT("'Ответы на форму (1)'!H"&amp;$N118,TRUE())</f>
        <v>#REF!</v>
      </c>
      <c r="I118" s="12" t="e">
        <f aca="true">INDIRECT("'Ответы на форму (1)'!I"&amp;$N118,TRUE())</f>
        <v>#REF!</v>
      </c>
      <c r="J118" s="12" t="e">
        <f aca="true">INDIRECT("'Ответы на форму (1)'!J"&amp;$N118,TRUE())</f>
        <v>#REF!</v>
      </c>
      <c r="K118" s="12" t="e">
        <f aca="true">INDIRECT("'Ответы на форму (1)'!K"&amp;$N118,TRUE())</f>
        <v>#REF!</v>
      </c>
      <c r="L118" s="12" t="e">
        <f aca="true">INDIRECT("'Ответы на форму (1)'!L"&amp;$N118,TRUE())</f>
        <v>#REF!</v>
      </c>
      <c r="M118" s="0" t="e">
        <f aca="false" t="array" ref="M118:M118">IF(B118 &lt;&gt; "",IF(COUNTIF(concat(TRIM('Список прошлого года'!$B$2:$B$200),TRIM('Список прошлого года'!$C$2:$C$200)),concat(TRIM(B118),TRIM(C118))) &gt; 0,"Да","Нет"),"")</f>
        <v>#REF!</v>
      </c>
      <c r="N118" s="1" t="n">
        <v>131</v>
      </c>
      <c r="O118" s="1" t="n">
        <v>2</v>
      </c>
      <c r="Q118" s="1" t="n">
        <f aca="false">FALSE()</f>
        <v>0</v>
      </c>
      <c r="R118" s="1" t="n">
        <f aca="false">FALSE()</f>
        <v>0</v>
      </c>
      <c r="S118" s="1" t="n">
        <f aca="false">FALSE()</f>
        <v>0</v>
      </c>
      <c r="T118" s="1" t="n">
        <f aca="false">FALSE()</f>
        <v>0</v>
      </c>
      <c r="U118" s="1" t="n">
        <f aca="false">FALSE()</f>
        <v>0</v>
      </c>
      <c r="V118" s="1" t="n">
        <f aca="false">TRUE()</f>
        <v>1</v>
      </c>
      <c r="W118" s="1" t="n">
        <f aca="false">TRUE()</f>
        <v>1</v>
      </c>
      <c r="X118" s="1" t="n">
        <f aca="false">TRUE()</f>
        <v>1</v>
      </c>
      <c r="Y118" s="1" t="n">
        <f aca="false">TRUE()</f>
        <v>1</v>
      </c>
      <c r="Z118" s="1" t="n">
        <f aca="false">TRUE()</f>
        <v>1</v>
      </c>
      <c r="AA118" s="1" t="n">
        <f aca="false">FALSE()</f>
        <v>0</v>
      </c>
      <c r="AB118" s="1" t="n">
        <f aca="false">FALSE()</f>
        <v>0</v>
      </c>
      <c r="AC118" s="1" t="n">
        <f aca="false">FALSE()</f>
        <v>0</v>
      </c>
      <c r="AD118" s="1" t="n">
        <f aca="false">FALSE()</f>
        <v>0</v>
      </c>
      <c r="AE118" s="1" t="n">
        <f aca="false">FALSE()</f>
        <v>0</v>
      </c>
      <c r="AF118" s="1" t="n">
        <f aca="false">FALSE()</f>
        <v>0</v>
      </c>
      <c r="AG118" s="1" t="n">
        <f aca="false">FALSE()</f>
        <v>0</v>
      </c>
      <c r="AH118" s="1" t="n">
        <f aca="false">FALSE()</f>
        <v>0</v>
      </c>
      <c r="AI118" s="1" t="n">
        <f aca="false">FALSE()</f>
        <v>0</v>
      </c>
      <c r="AJ118" s="1" t="n">
        <f aca="false">FALSE()</f>
        <v>0</v>
      </c>
      <c r="AK118" s="1" t="n">
        <f aca="false" t="array" ref="AK118:AK118">SUM(IF(Q118:U118,1,0))</f>
        <v>0</v>
      </c>
      <c r="AL118" s="14" t="n">
        <f aca="false" t="array" ref="AL118:AL118">SUM(IF(V118:Z118,1,0))</f>
        <v>5</v>
      </c>
      <c r="AM118" s="14" t="n">
        <f aca="false" t="array" ref="AM118:AM118">SUM(IF(AA118:AE118,1,0))</f>
        <v>0</v>
      </c>
      <c r="AN118" s="14" t="n">
        <f aca="false" t="array" ref="AN118:AN118">SUM(IF(AF118:AJ118,1,0))</f>
        <v>0</v>
      </c>
      <c r="AO118" s="1" t="n">
        <f aca="false">FALSE()</f>
        <v>0</v>
      </c>
      <c r="AP118" s="1" t="n">
        <f aca="false">IF(O118 = 2,COUNTIF(Q118:AJ118,"TRUE"),-1)</f>
        <v>5</v>
      </c>
    </row>
    <row r="119" customFormat="false" ht="15.75" hidden="false" customHeight="false" outlineLevel="0" collapsed="false">
      <c r="A119" s="8" t="e">
        <f aca="true">INDIRECT("'Ответы на форму (1)'!A"&amp;$N119,TRUE())</f>
        <v>#REF!</v>
      </c>
      <c r="B119" s="0" t="e">
        <f aca="true">INDIRECT("'Ответы на форму (1)'!B"&amp;$N119,TRUE())</f>
        <v>#REF!</v>
      </c>
      <c r="C119" s="0" t="e">
        <f aca="true">INDIRECT("'Ответы на форму (1)'!C"&amp;$N119,TRUE())</f>
        <v>#REF!</v>
      </c>
      <c r="D119" s="0" t="e">
        <f aca="true">INDIRECT("'Ответы на форму (1)'!D"&amp;$N119,TRUE())</f>
        <v>#REF!</v>
      </c>
      <c r="E119" s="0" t="str">
        <f aca="false">IFERROR(__xludf.dummyfunction("iferror(VALUE(REGEXEXTRACT(TEXT(INDIRECT(""'Ответы на форму (1)'!E""&amp;$N119,TRUE),""####""),""[0-9]+"")),IF(IFERROR(SEARCH(""моцро"",INDIRECT(""'Ответы на форму (1)'!E""&amp;$N119,TRUE)),-1) &gt;= 0,117,INDIRECT(""'Ответы на форму (1)'!E""&amp;$N119,TRUE)))"),"Академический лицей")</f>
        <v>Академический лицей</v>
      </c>
      <c r="F119" s="0" t="e">
        <f aca="true">INDIRECT("'Ответы на форму (1)'!F"&amp;$N119,TRUE())</f>
        <v>#REF!</v>
      </c>
      <c r="G119" s="0" t="e">
        <f aca="true">IFERROR(MID(INDIRECT("'Ответы на форму (1)'!G"&amp;$N119,TRUE()),SEARCH("vk.com",INDIRECT("'Ответы на форму (1)'!G"&amp;$N119,TRUE())),LEN(INDIRECT("'Ответы на форму (1)'!G"&amp;$N119,TRUE()))),INDIRECT("'Ответы на форму (1)'!G"&amp;$N119,TRUE()))</f>
        <v>#REF!</v>
      </c>
      <c r="H119" s="0" t="e">
        <f aca="true">INDIRECT("'Ответы на форму (1)'!H"&amp;$N119,TRUE())</f>
        <v>#REF!</v>
      </c>
      <c r="I119" s="12" t="e">
        <f aca="true">INDIRECT("'Ответы на форму (1)'!I"&amp;$N119,TRUE())</f>
        <v>#REF!</v>
      </c>
      <c r="J119" s="12" t="e">
        <f aca="true">INDIRECT("'Ответы на форму (1)'!J"&amp;$N119,TRUE())</f>
        <v>#REF!</v>
      </c>
      <c r="K119" s="12" t="e">
        <f aca="true">INDIRECT("'Ответы на форму (1)'!K"&amp;$N119,TRUE())</f>
        <v>#REF!</v>
      </c>
      <c r="L119" s="12" t="e">
        <f aca="true">INDIRECT("'Ответы на форму (1)'!L"&amp;$N119,TRUE())</f>
        <v>#REF!</v>
      </c>
      <c r="M119" s="0" t="e">
        <f aca="false" t="array" ref="M119:M119">IF(B119 &lt;&gt; "",IF(COUNTIF(concat(TRIM('Список прошлого года'!$B$2:$B$200),TRIM('Список прошлого года'!$C$2:$C$200)),concat(TRIM(B119),TRIM(C119))) &gt; 0,"Да","Нет"),"")</f>
        <v>#REF!</v>
      </c>
      <c r="N119" s="1" t="n">
        <v>132</v>
      </c>
      <c r="O119" s="1" t="n">
        <v>1</v>
      </c>
      <c r="Q119" s="1" t="n">
        <f aca="false">FALSE()</f>
        <v>0</v>
      </c>
      <c r="R119" s="1" t="n">
        <f aca="false">FALSE()</f>
        <v>0</v>
      </c>
      <c r="S119" s="1" t="n">
        <f aca="false">FALSE()</f>
        <v>0</v>
      </c>
      <c r="T119" s="1" t="n">
        <f aca="false">FALSE()</f>
        <v>0</v>
      </c>
      <c r="U119" s="1" t="n">
        <f aca="false">FALSE()</f>
        <v>0</v>
      </c>
      <c r="V119" s="1" t="n">
        <f aca="false">FALSE()</f>
        <v>0</v>
      </c>
      <c r="W119" s="1" t="n">
        <f aca="false">FALSE()</f>
        <v>0</v>
      </c>
      <c r="X119" s="1" t="n">
        <f aca="false">FALSE()</f>
        <v>0</v>
      </c>
      <c r="Y119" s="1" t="n">
        <f aca="false">FALSE()</f>
        <v>0</v>
      </c>
      <c r="Z119" s="1" t="n">
        <f aca="false">FALSE()</f>
        <v>0</v>
      </c>
      <c r="AA119" s="1" t="n">
        <f aca="false">FALSE()</f>
        <v>0</v>
      </c>
      <c r="AB119" s="1" t="n">
        <f aca="false">FALSE()</f>
        <v>0</v>
      </c>
      <c r="AC119" s="1" t="n">
        <f aca="false">FALSE()</f>
        <v>0</v>
      </c>
      <c r="AD119" s="1" t="n">
        <f aca="false">FALSE()</f>
        <v>0</v>
      </c>
      <c r="AE119" s="1" t="n">
        <f aca="false">FALSE()</f>
        <v>0</v>
      </c>
      <c r="AF119" s="1" t="n">
        <f aca="false">FALSE()</f>
        <v>0</v>
      </c>
      <c r="AG119" s="1" t="n">
        <f aca="false">FALSE()</f>
        <v>0</v>
      </c>
      <c r="AH119" s="1" t="n">
        <f aca="false">FALSE()</f>
        <v>0</v>
      </c>
      <c r="AI119" s="1" t="n">
        <f aca="false">FALSE()</f>
        <v>0</v>
      </c>
      <c r="AJ119" s="1" t="n">
        <f aca="false">FALSE()</f>
        <v>0</v>
      </c>
      <c r="AK119" s="1" t="n">
        <f aca="false" t="array" ref="AK119:AK119">SUM(IF(Q119:U119,1,0))</f>
        <v>0</v>
      </c>
      <c r="AL119" s="14" t="n">
        <f aca="false" t="array" ref="AL119:AL119">SUM(IF(V119:Z119,1,0))</f>
        <v>0</v>
      </c>
      <c r="AM119" s="14" t="n">
        <f aca="false" t="array" ref="AM119:AM119">SUM(IF(AA119:AE119,1,0))</f>
        <v>0</v>
      </c>
      <c r="AN119" s="14" t="n">
        <f aca="false" t="array" ref="AN119:AN119">SUM(IF(AF119:AJ119,1,0))</f>
        <v>0</v>
      </c>
      <c r="AO119" s="1" t="n">
        <f aca="false">FALSE()</f>
        <v>0</v>
      </c>
      <c r="AP119" s="1" t="n">
        <f aca="false">IF(O119 = 2,COUNTIF(Q119:AJ119,"TRUE"),-1)</f>
        <v>-1</v>
      </c>
    </row>
    <row r="120" customFormat="false" ht="15.75" hidden="false" customHeight="false" outlineLevel="0" collapsed="false">
      <c r="A120" s="8" t="e">
        <f aca="true">INDIRECT("'Ответы на форму (1)'!A"&amp;$N120,TRUE())</f>
        <v>#REF!</v>
      </c>
      <c r="B120" s="0" t="e">
        <f aca="true">INDIRECT("'Ответы на форму (1)'!B"&amp;$N120,TRUE())</f>
        <v>#REF!</v>
      </c>
      <c r="C120" s="0" t="e">
        <f aca="true">INDIRECT("'Ответы на форму (1)'!C"&amp;$N120,TRUE())</f>
        <v>#REF!</v>
      </c>
      <c r="D120" s="0" t="e">
        <f aca="true">INDIRECT("'Ответы на форму (1)'!D"&amp;$N120,TRUE())</f>
        <v>#REF!</v>
      </c>
      <c r="E120" s="0" t="n">
        <f aca="false">IFERROR(__xludf.dummyfunction("iferror(VALUE(REGEXEXTRACT(TEXT(INDIRECT(""'Ответы на форму (1)'!E""&amp;$N120,TRUE),""####""),""[0-9]+"")),IF(IFERROR(SEARCH(""моцро"",INDIRECT(""'Ответы на форму (1)'!E""&amp;$N120,TRUE)),-1) &gt;= 0,117,INDIRECT(""'Ответы на форму (1)'!E""&amp;$N120,TRUE)))"),117)</f>
        <v>117</v>
      </c>
      <c r="F120" s="0" t="e">
        <f aca="true">INDIRECT("'Ответы на форму (1)'!F"&amp;$N120,TRUE())</f>
        <v>#REF!</v>
      </c>
      <c r="G120" s="9" t="e">
        <f aca="true">IFERROR(MID(INDIRECT("'Ответы на форму (1)'!G"&amp;$N120,TRUE()),SEARCH("vk.com",INDIRECT("'Ответы на форму (1)'!G"&amp;$N120,TRUE())),LEN(INDIRECT("'Ответы на форму (1)'!G"&amp;$N120,TRUE()))),INDIRECT("'Ответы на форму (1)'!G"&amp;$N120,TRUE()))</f>
        <v>#REF!</v>
      </c>
      <c r="H120" s="0" t="e">
        <f aca="true">INDIRECT("'Ответы на форму (1)'!H"&amp;$N120,TRUE())</f>
        <v>#REF!</v>
      </c>
      <c r="I120" s="12" t="e">
        <f aca="true">INDIRECT("'Ответы на форму (1)'!I"&amp;$N120,TRUE())</f>
        <v>#REF!</v>
      </c>
      <c r="J120" s="12" t="e">
        <f aca="true">INDIRECT("'Ответы на форму (1)'!J"&amp;$N120,TRUE())</f>
        <v>#REF!</v>
      </c>
      <c r="K120" s="12" t="e">
        <f aca="true">INDIRECT("'Ответы на форму (1)'!K"&amp;$N120,TRUE())</f>
        <v>#REF!</v>
      </c>
      <c r="L120" s="12" t="e">
        <f aca="true">INDIRECT("'Ответы на форму (1)'!L"&amp;$N120,TRUE())</f>
        <v>#REF!</v>
      </c>
      <c r="M120" s="0" t="e">
        <f aca="false" t="array" ref="M120:M120">IF(B120 &lt;&gt; "",IF(COUNTIF(concat(TRIM('Список прошлого года'!$B$2:$B$200),TRIM('Список прошлого года'!$C$2:$C$200)),concat(TRIM(B120),TRIM(C120))) &gt; 0,"Да","Нет"),"")</f>
        <v>#REF!</v>
      </c>
      <c r="N120" s="1" t="n">
        <v>133</v>
      </c>
      <c r="O120" s="1" t="n">
        <v>2</v>
      </c>
      <c r="Q120" s="1" t="n">
        <f aca="false">FALSE()</f>
        <v>0</v>
      </c>
      <c r="R120" s="1" t="n">
        <f aca="false">FALSE()</f>
        <v>0</v>
      </c>
      <c r="S120" s="1" t="n">
        <f aca="false">FALSE()</f>
        <v>0</v>
      </c>
      <c r="T120" s="1" t="n">
        <f aca="false">FALSE()</f>
        <v>0</v>
      </c>
      <c r="U120" s="1" t="n">
        <f aca="false">FALSE()</f>
        <v>0</v>
      </c>
      <c r="V120" s="1" t="n">
        <f aca="false">TRUE()</f>
        <v>1</v>
      </c>
      <c r="W120" s="1" t="n">
        <f aca="false">FALSE()</f>
        <v>0</v>
      </c>
      <c r="X120" s="1" t="n">
        <f aca="false">FALSE()</f>
        <v>0</v>
      </c>
      <c r="Y120" s="1" t="n">
        <f aca="false">FALSE()</f>
        <v>0</v>
      </c>
      <c r="Z120" s="1" t="n">
        <f aca="false">FALSE()</f>
        <v>0</v>
      </c>
      <c r="AA120" s="1" t="n">
        <f aca="false">TRUE()</f>
        <v>1</v>
      </c>
      <c r="AB120" s="1" t="n">
        <f aca="false">TRUE()</f>
        <v>1</v>
      </c>
      <c r="AC120" s="1" t="n">
        <f aca="false">TRUE()</f>
        <v>1</v>
      </c>
      <c r="AD120" s="1" t="n">
        <f aca="false">TRUE()</f>
        <v>1</v>
      </c>
      <c r="AE120" s="1" t="n">
        <f aca="false">TRUE()</f>
        <v>1</v>
      </c>
      <c r="AF120" s="1" t="n">
        <f aca="false">FALSE()</f>
        <v>0</v>
      </c>
      <c r="AG120" s="1" t="n">
        <f aca="false">FALSE()</f>
        <v>0</v>
      </c>
      <c r="AH120" s="1" t="n">
        <f aca="false">FALSE()</f>
        <v>0</v>
      </c>
      <c r="AI120" s="1" t="n">
        <f aca="false">FALSE()</f>
        <v>0</v>
      </c>
      <c r="AJ120" s="1" t="n">
        <f aca="false">FALSE()</f>
        <v>0</v>
      </c>
      <c r="AK120" s="1" t="n">
        <f aca="false" t="array" ref="AK120:AK120">SUM(IF(Q120:U120,1,0))</f>
        <v>0</v>
      </c>
      <c r="AL120" s="14" t="n">
        <f aca="false" t="array" ref="AL120:AL120">SUM(IF(V120:Z120,1,0))</f>
        <v>1</v>
      </c>
      <c r="AM120" s="14" t="n">
        <f aca="false" t="array" ref="AM120:AM120">SUM(IF(AA120:AE120,1,0))</f>
        <v>5</v>
      </c>
      <c r="AN120" s="14" t="n">
        <f aca="false" t="array" ref="AN120:AN120">SUM(IF(AF120:AJ120,1,0))</f>
        <v>0</v>
      </c>
      <c r="AO120" s="1" t="n">
        <f aca="false">FALSE()</f>
        <v>0</v>
      </c>
      <c r="AP120" s="1" t="n">
        <f aca="false">IF(O120 = 2,COUNTIF(Q120:AJ120,"TRUE"),-1)</f>
        <v>6</v>
      </c>
    </row>
    <row r="121" customFormat="false" ht="15.75" hidden="false" customHeight="false" outlineLevel="0" collapsed="false">
      <c r="A121" s="8" t="e">
        <f aca="true">INDIRECT("'Ответы на форму (1)'!A"&amp;$N121,TRUE())</f>
        <v>#REF!</v>
      </c>
      <c r="B121" s="0" t="e">
        <f aca="true">INDIRECT("'Ответы на форму (1)'!B"&amp;$N121,TRUE())</f>
        <v>#REF!</v>
      </c>
      <c r="C121" s="0" t="e">
        <f aca="true">INDIRECT("'Ответы на форму (1)'!C"&amp;$N121,TRUE())</f>
        <v>#REF!</v>
      </c>
      <c r="D121" s="0" t="e">
        <f aca="true">INDIRECT("'Ответы на форму (1)'!D"&amp;$N121,TRUE())</f>
        <v>#REF!</v>
      </c>
      <c r="E121" s="0" t="n">
        <f aca="false">IFERROR(__xludf.dummyfunction("iferror(VALUE(REGEXEXTRACT(TEXT(INDIRECT(""'Ответы на форму (1)'!E""&amp;$N121,TRUE),""####""),""[0-9]+"")),IF(IFERROR(SEARCH(""моцро"",INDIRECT(""'Ответы на форму (1)'!E""&amp;$N121,TRUE)),-1) &gt;= 0,117,INDIRECT(""'Ответы на форму (1)'!E""&amp;$N121,TRUE)))"),150)</f>
        <v>150</v>
      </c>
      <c r="F121" s="0" t="e">
        <f aca="true">INDIRECT("'Ответы на форму (1)'!F"&amp;$N121,TRUE())</f>
        <v>#REF!</v>
      </c>
      <c r="G121" s="9" t="e">
        <f aca="true">IFERROR(MID(INDIRECT("'Ответы на форму (1)'!G"&amp;$N121,TRUE()),SEARCH("vk.com",INDIRECT("'Ответы на форму (1)'!G"&amp;$N121,TRUE())),LEN(INDIRECT("'Ответы на форму (1)'!G"&amp;$N121,TRUE()))),INDIRECT("'Ответы на форму (1)'!G"&amp;$N121,TRUE()))</f>
        <v>#REF!</v>
      </c>
      <c r="H121" s="0" t="e">
        <f aca="true">INDIRECT("'Ответы на форму (1)'!H"&amp;$N121,TRUE())</f>
        <v>#REF!</v>
      </c>
      <c r="I121" s="12" t="e">
        <f aca="true">INDIRECT("'Ответы на форму (1)'!I"&amp;$N121,TRUE())</f>
        <v>#REF!</v>
      </c>
      <c r="J121" s="12" t="e">
        <f aca="true">INDIRECT("'Ответы на форму (1)'!J"&amp;$N121,TRUE())</f>
        <v>#REF!</v>
      </c>
      <c r="K121" s="12" t="e">
        <f aca="true">INDIRECT("'Ответы на форму (1)'!K"&amp;$N121,TRUE())</f>
        <v>#REF!</v>
      </c>
      <c r="L121" s="12" t="e">
        <f aca="true">INDIRECT("'Ответы на форму (1)'!L"&amp;$N121,TRUE())</f>
        <v>#REF!</v>
      </c>
      <c r="M121" s="0" t="e">
        <f aca="false" t="array" ref="M121:M121">IF(B121 &lt;&gt; "",IF(COUNTIF(concat(TRIM('Список прошлого года'!$B$2:$B$200),TRIM('Список прошлого года'!$C$2:$C$200)),concat(TRIM(B121),TRIM(C121))) &gt; 0,"Да","Нет"),"")</f>
        <v>#REF!</v>
      </c>
      <c r="N121" s="1" t="n">
        <v>134</v>
      </c>
      <c r="O121" s="1" t="n">
        <v>2</v>
      </c>
      <c r="Q121" s="1" t="n">
        <f aca="false">TRUE()</f>
        <v>1</v>
      </c>
      <c r="R121" s="1" t="n">
        <f aca="false">FALSE()</f>
        <v>0</v>
      </c>
      <c r="S121" s="1" t="n">
        <f aca="false">FALSE()</f>
        <v>0</v>
      </c>
      <c r="T121" s="1" t="n">
        <f aca="false">FALSE()</f>
        <v>0</v>
      </c>
      <c r="U121" s="1" t="n">
        <f aca="false">FALSE()</f>
        <v>0</v>
      </c>
      <c r="V121" s="1" t="n">
        <f aca="false">TRUE()</f>
        <v>1</v>
      </c>
      <c r="W121" s="1" t="n">
        <f aca="false">TRUE()</f>
        <v>1</v>
      </c>
      <c r="X121" s="1" t="n">
        <f aca="false">TRUE()</f>
        <v>1</v>
      </c>
      <c r="Y121" s="1" t="n">
        <f aca="false">TRUE()</f>
        <v>1</v>
      </c>
      <c r="Z121" s="1" t="n">
        <f aca="false">TRUE()</f>
        <v>1</v>
      </c>
      <c r="AA121" s="1" t="n">
        <f aca="false">TRUE()</f>
        <v>1</v>
      </c>
      <c r="AB121" s="1" t="n">
        <f aca="false">TRUE()</f>
        <v>1</v>
      </c>
      <c r="AC121" s="1" t="n">
        <f aca="false">FALSE()</f>
        <v>0</v>
      </c>
      <c r="AD121" s="1" t="n">
        <f aca="false">FALSE()</f>
        <v>0</v>
      </c>
      <c r="AE121" s="1" t="n">
        <f aca="false">FALSE()</f>
        <v>0</v>
      </c>
      <c r="AF121" s="1" t="n">
        <f aca="false">TRUE()</f>
        <v>1</v>
      </c>
      <c r="AG121" s="1" t="n">
        <f aca="false">TRUE()</f>
        <v>1</v>
      </c>
      <c r="AH121" s="1" t="n">
        <f aca="false">TRUE()</f>
        <v>1</v>
      </c>
      <c r="AI121" s="1" t="n">
        <f aca="false">FALSE()</f>
        <v>0</v>
      </c>
      <c r="AJ121" s="1" t="n">
        <f aca="false">FALSE()</f>
        <v>0</v>
      </c>
      <c r="AK121" s="1" t="n">
        <f aca="false" t="array" ref="AK121:AK121">SUM(IF(Q121:U121,1,0))</f>
        <v>1</v>
      </c>
      <c r="AL121" s="14" t="n">
        <f aca="false" t="array" ref="AL121:AL121">SUM(IF(V121:Z121,1,0))</f>
        <v>5</v>
      </c>
      <c r="AM121" s="14" t="n">
        <f aca="false" t="array" ref="AM121:AM121">SUM(IF(AA121:AE121,1,0))</f>
        <v>2</v>
      </c>
      <c r="AN121" s="14" t="n">
        <f aca="false" t="array" ref="AN121:AN121">SUM(IF(AF121:AJ121,1,0))</f>
        <v>3</v>
      </c>
      <c r="AO121" s="1" t="n">
        <f aca="false">FALSE()</f>
        <v>0</v>
      </c>
      <c r="AP121" s="1" t="n">
        <f aca="false">IF(O121 = 2,COUNTIF(Q121:AJ121,"TRUE"),-1)</f>
        <v>11</v>
      </c>
    </row>
    <row r="122" customFormat="false" ht="15.75" hidden="false" customHeight="false" outlineLevel="0" collapsed="false">
      <c r="A122" s="8" t="e">
        <f aca="true">INDIRECT("'Ответы на форму (1)'!A"&amp;$N122,TRUE())</f>
        <v>#REF!</v>
      </c>
      <c r="B122" s="0" t="e">
        <f aca="true">INDIRECT("'Ответы на форму (1)'!B"&amp;$N122,TRUE())</f>
        <v>#REF!</v>
      </c>
      <c r="C122" s="0" t="e">
        <f aca="true">INDIRECT("'Ответы на форму (1)'!C"&amp;$N122,TRUE())</f>
        <v>#REF!</v>
      </c>
      <c r="D122" s="0" t="e">
        <f aca="true">INDIRECT("'Ответы на форму (1)'!D"&amp;$N122,TRUE())</f>
        <v>#REF!</v>
      </c>
      <c r="E122" s="0" t="n">
        <f aca="false">IFERROR(__xludf.dummyfunction("iferror(VALUE(REGEXEXTRACT(TEXT(INDIRECT(""'Ответы на форму (1)'!E""&amp;$N122,TRUE),""####""),""[0-9]+"")),IF(IFERROR(SEARCH(""моцро"",INDIRECT(""'Ответы на форму (1)'!E""&amp;$N122,TRUE)),-1) &gt;= 0,117,INDIRECT(""'Ответы на форму (1)'!E""&amp;$N122,TRUE)))"),117)</f>
        <v>117</v>
      </c>
      <c r="F122" s="0" t="e">
        <f aca="true">INDIRECT("'Ответы на форму (1)'!F"&amp;$N122,TRUE())</f>
        <v>#REF!</v>
      </c>
      <c r="G122" s="0" t="e">
        <f aca="true">IFERROR(MID(INDIRECT("'Ответы на форму (1)'!G"&amp;$N122,TRUE()),SEARCH("vk.com",INDIRECT("'Ответы на форму (1)'!G"&amp;$N122,TRUE())),LEN(INDIRECT("'Ответы на форму (1)'!G"&amp;$N122,TRUE()))),INDIRECT("'Ответы на форму (1)'!G"&amp;$N122,TRUE()))</f>
        <v>#REF!</v>
      </c>
      <c r="H122" s="0" t="e">
        <f aca="true">INDIRECT("'Ответы на форму (1)'!H"&amp;$N122,TRUE())</f>
        <v>#REF!</v>
      </c>
      <c r="I122" s="12" t="e">
        <f aca="true">INDIRECT("'Ответы на форму (1)'!I"&amp;$N122,TRUE())</f>
        <v>#REF!</v>
      </c>
      <c r="J122" s="12" t="e">
        <f aca="true">INDIRECT("'Ответы на форму (1)'!J"&amp;$N122,TRUE())</f>
        <v>#REF!</v>
      </c>
      <c r="K122" s="12" t="e">
        <f aca="true">INDIRECT("'Ответы на форму (1)'!K"&amp;$N122,TRUE())</f>
        <v>#REF!</v>
      </c>
      <c r="L122" s="12" t="e">
        <f aca="true">INDIRECT("'Ответы на форму (1)'!L"&amp;$N122,TRUE())</f>
        <v>#REF!</v>
      </c>
      <c r="M122" s="0" t="e">
        <f aca="false" t="array" ref="M122:M122">IF(B122 &lt;&gt; "",IF(COUNTIF(concat(TRIM('Список прошлого года'!$B$2:$B$200),TRIM('Список прошлого года'!$C$2:$C$200)),concat(TRIM(B122),TRIM(C122))) &gt; 0,"Да","Нет"),"")</f>
        <v>#REF!</v>
      </c>
      <c r="N122" s="1" t="n">
        <v>135</v>
      </c>
      <c r="O122" s="1" t="n">
        <v>1</v>
      </c>
      <c r="Q122" s="1" t="n">
        <f aca="false">FALSE()</f>
        <v>0</v>
      </c>
      <c r="R122" s="1" t="n">
        <f aca="false">FALSE()</f>
        <v>0</v>
      </c>
      <c r="S122" s="1" t="n">
        <f aca="false">FALSE()</f>
        <v>0</v>
      </c>
      <c r="T122" s="1" t="n">
        <f aca="false">FALSE()</f>
        <v>0</v>
      </c>
      <c r="U122" s="1" t="n">
        <f aca="false">FALSE()</f>
        <v>0</v>
      </c>
      <c r="V122" s="1" t="n">
        <f aca="false">FALSE()</f>
        <v>0</v>
      </c>
      <c r="W122" s="1" t="n">
        <f aca="false">FALSE()</f>
        <v>0</v>
      </c>
      <c r="X122" s="1" t="n">
        <f aca="false">FALSE()</f>
        <v>0</v>
      </c>
      <c r="Y122" s="1" t="n">
        <f aca="false">FALSE()</f>
        <v>0</v>
      </c>
      <c r="Z122" s="1" t="n">
        <f aca="false">FALSE()</f>
        <v>0</v>
      </c>
      <c r="AA122" s="1" t="n">
        <f aca="false">FALSE()</f>
        <v>0</v>
      </c>
      <c r="AB122" s="1" t="n">
        <f aca="false">FALSE()</f>
        <v>0</v>
      </c>
      <c r="AC122" s="1" t="n">
        <f aca="false">FALSE()</f>
        <v>0</v>
      </c>
      <c r="AD122" s="1" t="n">
        <f aca="false">FALSE()</f>
        <v>0</v>
      </c>
      <c r="AE122" s="1" t="n">
        <f aca="false">FALSE()</f>
        <v>0</v>
      </c>
      <c r="AF122" s="1" t="n">
        <f aca="false">FALSE()</f>
        <v>0</v>
      </c>
      <c r="AG122" s="1" t="n">
        <f aca="false">FALSE()</f>
        <v>0</v>
      </c>
      <c r="AH122" s="1" t="n">
        <f aca="false">FALSE()</f>
        <v>0</v>
      </c>
      <c r="AI122" s="1" t="n">
        <f aca="false">FALSE()</f>
        <v>0</v>
      </c>
      <c r="AJ122" s="1" t="n">
        <f aca="false">FALSE()</f>
        <v>0</v>
      </c>
      <c r="AK122" s="1" t="n">
        <f aca="false" t="array" ref="AK122:AK122">SUM(IF(Q122:U122,1,0))</f>
        <v>0</v>
      </c>
      <c r="AL122" s="14" t="n">
        <f aca="false" t="array" ref="AL122:AL122">SUM(IF(V122:Z122,1,0))</f>
        <v>0</v>
      </c>
      <c r="AM122" s="14" t="n">
        <f aca="false" t="array" ref="AM122:AM122">SUM(IF(AA122:AE122,1,0))</f>
        <v>0</v>
      </c>
      <c r="AN122" s="14" t="n">
        <f aca="false" t="array" ref="AN122:AN122">SUM(IF(AF122:AJ122,1,0))</f>
        <v>0</v>
      </c>
      <c r="AO122" s="1" t="n">
        <f aca="false">FALSE()</f>
        <v>0</v>
      </c>
      <c r="AP122" s="1" t="n">
        <f aca="false">IF(O122 = 2,COUNTIF(Q122:AJ122,"TRUE"),-1)</f>
        <v>-1</v>
      </c>
    </row>
    <row r="123" customFormat="false" ht="15.75" hidden="false" customHeight="false" outlineLevel="0" collapsed="false">
      <c r="A123" s="15" t="e">
        <f aca="true">INDIRECT("'Ответы на форму (1)'!A"&amp;$N123,TRUE())</f>
        <v>#REF!</v>
      </c>
      <c r="B123" s="16" t="e">
        <f aca="true">INDIRECT("'Ответы на форму (1)'!B"&amp;$N123,TRUE())</f>
        <v>#REF!</v>
      </c>
      <c r="C123" s="16" t="e">
        <f aca="true">INDIRECT("'Ответы на форму (1)'!C"&amp;$N123,TRUE())</f>
        <v>#REF!</v>
      </c>
      <c r="D123" s="16" t="e">
        <f aca="true">INDIRECT("'Ответы на форму (1)'!D"&amp;$N123,TRUE())</f>
        <v>#REF!</v>
      </c>
      <c r="E123" s="16" t="n">
        <f aca="false">IFERROR(__xludf.dummyfunction("iferror(VALUE(REGEXEXTRACT(TEXT(INDIRECT(""'Ответы на форму (1)'!E""&amp;$N123,TRUE),""####""),""[0-9]+"")),IF(IFERROR(SEARCH(""моцро"",INDIRECT(""'Ответы на форму (1)'!E""&amp;$N123,TRUE)),-1) &gt;= 0,117,INDIRECT(""'Ответы на форму (1)'!E""&amp;$N123,TRUE)))"),36)</f>
        <v>36</v>
      </c>
      <c r="F123" s="16" t="e">
        <f aca="true">INDIRECT("'Ответы на форму (1)'!F"&amp;$N123,TRUE())</f>
        <v>#REF!</v>
      </c>
      <c r="G123" s="17" t="e">
        <f aca="true">IFERROR(MID(INDIRECT("'Ответы на форму (1)'!G"&amp;$N123,TRUE()),SEARCH("vk.com",INDIRECT("'Ответы на форму (1)'!G"&amp;$N123,TRUE())),LEN(INDIRECT("'Ответы на форму (1)'!G"&amp;$N123,TRUE()))),INDIRECT("'Ответы на форму (1)'!G"&amp;$N123,TRUE()))</f>
        <v>#REF!</v>
      </c>
      <c r="H123" s="16" t="e">
        <f aca="true">INDIRECT("'Ответы на форму (1)'!H"&amp;$N123,TRUE())</f>
        <v>#REF!</v>
      </c>
      <c r="I123" s="16" t="e">
        <f aca="true">INDIRECT("'Ответы на форму (1)'!I"&amp;$N123,TRUE())</f>
        <v>#REF!</v>
      </c>
      <c r="J123" s="16" t="e">
        <f aca="true">INDIRECT("'Ответы на форму (1)'!J"&amp;$N123,TRUE())</f>
        <v>#REF!</v>
      </c>
      <c r="K123" s="16" t="e">
        <f aca="true">INDIRECT("'Ответы на форму (1)'!K"&amp;$N123,TRUE())</f>
        <v>#REF!</v>
      </c>
      <c r="L123" s="16" t="e">
        <f aca="true">INDIRECT("'Ответы на форму (1)'!L"&amp;$N123,TRUE())</f>
        <v>#REF!</v>
      </c>
      <c r="M123" s="16" t="e">
        <f aca="false" t="array" ref="M123:M123">IF(B123 &lt;&gt; "",IF(COUNTIF(concat(TRIM('Список прошлого года'!$B$2:$B$200),TRIM('Список прошлого года'!$C$2:$C$200)),concat(TRIM(B123),TRIM(C123))) &gt; 0,"Да","Нет"),"")</f>
        <v>#REF!</v>
      </c>
      <c r="N123" s="19" t="n">
        <v>136</v>
      </c>
      <c r="O123" s="19" t="n">
        <v>2</v>
      </c>
      <c r="P123" s="16"/>
      <c r="Q123" s="19" t="n">
        <f aca="false">TRUE()</f>
        <v>1</v>
      </c>
      <c r="R123" s="19" t="n">
        <f aca="false">TRUE()</f>
        <v>1</v>
      </c>
      <c r="S123" s="19" t="n">
        <f aca="false">TRUE()</f>
        <v>1</v>
      </c>
      <c r="T123" s="19" t="n">
        <f aca="false">TRUE()</f>
        <v>1</v>
      </c>
      <c r="U123" s="19" t="n">
        <f aca="false">TRUE()</f>
        <v>1</v>
      </c>
      <c r="V123" s="19" t="n">
        <f aca="false">TRUE()</f>
        <v>1</v>
      </c>
      <c r="W123" s="19" t="n">
        <f aca="false">TRUE()</f>
        <v>1</v>
      </c>
      <c r="X123" s="19" t="n">
        <f aca="false">TRUE()</f>
        <v>1</v>
      </c>
      <c r="Y123" s="19" t="n">
        <f aca="false">TRUE()</f>
        <v>1</v>
      </c>
      <c r="Z123" s="19" t="n">
        <f aca="false">TRUE()</f>
        <v>1</v>
      </c>
      <c r="AA123" s="19" t="n">
        <f aca="false">TRUE()</f>
        <v>1</v>
      </c>
      <c r="AB123" s="19" t="n">
        <f aca="false">TRUE()</f>
        <v>1</v>
      </c>
      <c r="AC123" s="19" t="n">
        <f aca="false">TRUE()</f>
        <v>1</v>
      </c>
      <c r="AD123" s="19" t="n">
        <f aca="false">TRUE()</f>
        <v>1</v>
      </c>
      <c r="AE123" s="19" t="n">
        <f aca="false">TRUE()</f>
        <v>1</v>
      </c>
      <c r="AF123" s="19" t="n">
        <f aca="false">TRUE()</f>
        <v>1</v>
      </c>
      <c r="AG123" s="19" t="n">
        <f aca="false">TRUE()</f>
        <v>1</v>
      </c>
      <c r="AH123" s="19" t="n">
        <f aca="false">TRUE()</f>
        <v>1</v>
      </c>
      <c r="AI123" s="19" t="n">
        <f aca="false">TRUE()</f>
        <v>1</v>
      </c>
      <c r="AJ123" s="19" t="n">
        <f aca="false">TRUE()</f>
        <v>1</v>
      </c>
      <c r="AK123" s="19" t="n">
        <f aca="false" t="array" ref="AK123:AK123">SUM(IF(Q123:U123,1,0))</f>
        <v>5</v>
      </c>
      <c r="AL123" s="20" t="n">
        <f aca="false" t="array" ref="AL123:AL123">SUM(IF(V123:Z123,1,0))</f>
        <v>5</v>
      </c>
      <c r="AM123" s="20" t="n">
        <f aca="false" t="array" ref="AM123:AM123">SUM(IF(AA123:AE123,1,0))</f>
        <v>5</v>
      </c>
      <c r="AN123" s="20" t="n">
        <f aca="false" t="array" ref="AN123:AN123">SUM(IF(AF123:AJ123,1,0))</f>
        <v>5</v>
      </c>
      <c r="AO123" s="19" t="n">
        <f aca="false">TRUE()</f>
        <v>1</v>
      </c>
      <c r="AP123" s="1" t="n">
        <f aca="false">IF(O123 = 2,COUNTIF(Q123:AJ123,"TRUE"),-1)</f>
        <v>20</v>
      </c>
    </row>
    <row r="124" customFormat="false" ht="15.75" hidden="false" customHeight="false" outlineLevel="0" collapsed="false">
      <c r="A124" s="15" t="e">
        <f aca="true">INDIRECT("'Ответы на форму (1)'!A"&amp;$N124,TRUE())</f>
        <v>#REF!</v>
      </c>
      <c r="B124" s="16" t="e">
        <f aca="true">INDIRECT("'Ответы на форму (1)'!B"&amp;$N124,TRUE())</f>
        <v>#REF!</v>
      </c>
      <c r="C124" s="16" t="e">
        <f aca="true">INDIRECT("'Ответы на форму (1)'!C"&amp;$N124,TRUE())</f>
        <v>#REF!</v>
      </c>
      <c r="D124" s="16" t="e">
        <f aca="true">INDIRECT("'Ответы на форму (1)'!D"&amp;$N124,TRUE())</f>
        <v>#REF!</v>
      </c>
      <c r="E124" s="16" t="n">
        <f aca="false">IFERROR(__xludf.dummyfunction("iferror(VALUE(REGEXEXTRACT(TEXT(INDIRECT(""'Ответы на форму (1)'!E""&amp;$N124,TRUE),""####""),""[0-9]+"")),IF(IFERROR(SEARCH(""моцро"",INDIRECT(""'Ответы на форму (1)'!E""&amp;$N124,TRUE)),-1) &gt;= 0,117,INDIRECT(""'Ответы на форму (1)'!E""&amp;$N124,TRUE)))"),117)</f>
        <v>117</v>
      </c>
      <c r="F124" s="16" t="e">
        <f aca="true">INDIRECT("'Ответы на форму (1)'!F"&amp;$N124,TRUE())</f>
        <v>#REF!</v>
      </c>
      <c r="G124" s="17" t="e">
        <f aca="true">IFERROR(MID(INDIRECT("'Ответы на форму (1)'!G"&amp;$N124,TRUE()),SEARCH("vk.com",INDIRECT("'Ответы на форму (1)'!G"&amp;$N124,TRUE())),LEN(INDIRECT("'Ответы на форму (1)'!G"&amp;$N124,TRUE()))),INDIRECT("'Ответы на форму (1)'!G"&amp;$N124,TRUE()))</f>
        <v>#REF!</v>
      </c>
      <c r="H124" s="16" t="e">
        <f aca="true">INDIRECT("'Ответы на форму (1)'!H"&amp;$N124,TRUE())</f>
        <v>#REF!</v>
      </c>
      <c r="I124" s="16" t="e">
        <f aca="true">INDIRECT("'Ответы на форму (1)'!I"&amp;$N124,TRUE())</f>
        <v>#REF!</v>
      </c>
      <c r="J124" s="16" t="e">
        <f aca="true">INDIRECT("'Ответы на форму (1)'!J"&amp;$N124,TRUE())</f>
        <v>#REF!</v>
      </c>
      <c r="K124" s="16" t="e">
        <f aca="true">INDIRECT("'Ответы на форму (1)'!K"&amp;$N124,TRUE())</f>
        <v>#REF!</v>
      </c>
      <c r="L124" s="16" t="e">
        <f aca="true">INDIRECT("'Ответы на форму (1)'!L"&amp;$N124,TRUE())</f>
        <v>#REF!</v>
      </c>
      <c r="M124" s="16" t="e">
        <f aca="false" t="array" ref="M124:M124">IF(B124 &lt;&gt; "",IF(COUNTIF(concat(TRIM('Список прошлого года'!$B$2:$B$200),TRIM('Список прошлого года'!$C$2:$C$200)),concat(TRIM(B124),TRIM(C124))) &gt; 0,"Да","Нет"),"")</f>
        <v>#REF!</v>
      </c>
      <c r="N124" s="19" t="n">
        <v>137</v>
      </c>
      <c r="O124" s="19" t="n">
        <v>2</v>
      </c>
      <c r="P124" s="16"/>
      <c r="Q124" s="19" t="n">
        <f aca="false">TRUE()</f>
        <v>1</v>
      </c>
      <c r="R124" s="19" t="n">
        <f aca="false">TRUE()</f>
        <v>1</v>
      </c>
      <c r="S124" s="19" t="n">
        <f aca="false">TRUE()</f>
        <v>1</v>
      </c>
      <c r="T124" s="19" t="n">
        <f aca="false">TRUE()</f>
        <v>1</v>
      </c>
      <c r="U124" s="19" t="n">
        <f aca="false">TRUE()</f>
        <v>1</v>
      </c>
      <c r="V124" s="19" t="n">
        <f aca="false">TRUE()</f>
        <v>1</v>
      </c>
      <c r="W124" s="19" t="n">
        <f aca="false">TRUE()</f>
        <v>1</v>
      </c>
      <c r="X124" s="19" t="n">
        <f aca="false">TRUE()</f>
        <v>1</v>
      </c>
      <c r="Y124" s="19" t="n">
        <f aca="false">TRUE()</f>
        <v>1</v>
      </c>
      <c r="Z124" s="19" t="n">
        <f aca="false">TRUE()</f>
        <v>1</v>
      </c>
      <c r="AA124" s="19" t="n">
        <f aca="false">TRUE()</f>
        <v>1</v>
      </c>
      <c r="AB124" s="19" t="n">
        <f aca="false">TRUE()</f>
        <v>1</v>
      </c>
      <c r="AC124" s="19" t="n">
        <f aca="false">TRUE()</f>
        <v>1</v>
      </c>
      <c r="AD124" s="19" t="n">
        <f aca="false">TRUE()</f>
        <v>1</v>
      </c>
      <c r="AE124" s="19" t="n">
        <f aca="false">FALSE()</f>
        <v>0</v>
      </c>
      <c r="AF124" s="19" t="n">
        <f aca="false">TRUE()</f>
        <v>1</v>
      </c>
      <c r="AG124" s="19" t="n">
        <f aca="false">TRUE()</f>
        <v>1</v>
      </c>
      <c r="AH124" s="19" t="n">
        <f aca="false">TRUE()</f>
        <v>1</v>
      </c>
      <c r="AI124" s="19" t="n">
        <f aca="false">TRUE()</f>
        <v>1</v>
      </c>
      <c r="AJ124" s="19" t="n">
        <f aca="false">TRUE()</f>
        <v>1</v>
      </c>
      <c r="AK124" s="19" t="n">
        <f aca="false" t="array" ref="AK124:AK124">SUM(IF(Q124:U124,1,0))</f>
        <v>5</v>
      </c>
      <c r="AL124" s="20" t="n">
        <f aca="false" t="array" ref="AL124:AL124">SUM(IF(V124:Z124,1,0))</f>
        <v>5</v>
      </c>
      <c r="AM124" s="20" t="n">
        <f aca="false" t="array" ref="AM124:AM124">SUM(IF(AA124:AE124,1,0))</f>
        <v>4</v>
      </c>
      <c r="AN124" s="20" t="n">
        <f aca="false" t="array" ref="AN124:AN124">SUM(IF(AF124:AJ124,1,0))</f>
        <v>5</v>
      </c>
      <c r="AO124" s="19" t="n">
        <f aca="false">TRUE()</f>
        <v>1</v>
      </c>
      <c r="AP124" s="1" t="n">
        <f aca="false">IF(O124 = 2,COUNTIF(Q124:AJ124,"TRUE"),-1)</f>
        <v>19</v>
      </c>
    </row>
    <row r="125" customFormat="false" ht="15.75" hidden="false" customHeight="false" outlineLevel="0" collapsed="false">
      <c r="A125" s="8" t="e">
        <f aca="true">INDIRECT("'Ответы на форму (1)'!A"&amp;$N125,TRUE())</f>
        <v>#REF!</v>
      </c>
      <c r="B125" s="27" t="e">
        <f aca="true">INDIRECT("'Ответы на форму (1)'!B"&amp;$N125,TRUE())</f>
        <v>#REF!</v>
      </c>
      <c r="C125" s="0" t="e">
        <f aca="true">INDIRECT("'Ответы на форму (1)'!C"&amp;$N125,TRUE())</f>
        <v>#REF!</v>
      </c>
      <c r="D125" s="0" t="e">
        <f aca="true">INDIRECT("'Ответы на форму (1)'!D"&amp;$N125,TRUE())</f>
        <v>#REF!</v>
      </c>
      <c r="E125" s="0" t="n">
        <f aca="false">IFERROR(__xludf.dummyfunction("iferror(VALUE(REGEXEXTRACT(TEXT(INDIRECT(""'Ответы на форму (1)'!E""&amp;$N125,TRUE),""####""),""[0-9]+"")),IF(IFERROR(SEARCH(""моцро"",INDIRECT(""'Ответы на форму (1)'!E""&amp;$N125,TRUE)),-1) &gt;= 0,117,INDIRECT(""'Ответы на форму (1)'!E""&amp;$N125,TRUE)))"),117)</f>
        <v>117</v>
      </c>
      <c r="F125" s="0" t="e">
        <f aca="true">INDIRECT("'Ответы на форму (1)'!F"&amp;$N125,TRUE())</f>
        <v>#REF!</v>
      </c>
      <c r="G125" s="9" t="e">
        <f aca="true">IFERROR(MID(INDIRECT("'Ответы на форму (1)'!G"&amp;$N125,TRUE()),SEARCH("vk.com",INDIRECT("'Ответы на форму (1)'!G"&amp;$N125,TRUE())),LEN(INDIRECT("'Ответы на форму (1)'!G"&amp;$N125,TRUE()))),INDIRECT("'Ответы на форму (1)'!G"&amp;$N125,TRUE()))</f>
        <v>#REF!</v>
      </c>
      <c r="H125" s="0" t="e">
        <f aca="true">INDIRECT("'Ответы на форму (1)'!H"&amp;$N125,TRUE())</f>
        <v>#REF!</v>
      </c>
      <c r="I125" s="12" t="e">
        <f aca="true">INDIRECT("'Ответы на форму (1)'!I"&amp;$N125,TRUE())</f>
        <v>#REF!</v>
      </c>
      <c r="J125" s="12" t="e">
        <f aca="true">INDIRECT("'Ответы на форму (1)'!J"&amp;$N125,TRUE())</f>
        <v>#REF!</v>
      </c>
      <c r="K125" s="12" t="e">
        <f aca="true">INDIRECT("'Ответы на форму (1)'!K"&amp;$N125,TRUE())</f>
        <v>#REF!</v>
      </c>
      <c r="L125" s="12" t="e">
        <f aca="true">INDIRECT("'Ответы на форму (1)'!L"&amp;$N125,TRUE())</f>
        <v>#REF!</v>
      </c>
      <c r="M125" s="0" t="e">
        <f aca="false" t="array" ref="M125:M125">IF(B125 &lt;&gt; "",IF(COUNTIF(concat(TRIM('Список прошлого года'!$B$2:$B$200),TRIM('Список прошлого года'!$C$2:$C$200)),concat(TRIM(B125),TRIM(C125))) &gt; 0,"Да","Нет"),"")</f>
        <v>#REF!</v>
      </c>
      <c r="N125" s="1" t="n">
        <v>142</v>
      </c>
      <c r="O125" s="1" t="n">
        <v>2</v>
      </c>
      <c r="Q125" s="1" t="n">
        <f aca="false">TRUE()</f>
        <v>1</v>
      </c>
      <c r="R125" s="1" t="n">
        <f aca="false">TRUE()</f>
        <v>1</v>
      </c>
      <c r="S125" s="1" t="n">
        <f aca="false">TRUE()</f>
        <v>1</v>
      </c>
      <c r="T125" s="1" t="n">
        <f aca="false">TRUE()</f>
        <v>1</v>
      </c>
      <c r="U125" s="1" t="n">
        <f aca="false">TRUE()</f>
        <v>1</v>
      </c>
      <c r="V125" s="1" t="n">
        <f aca="false">TRUE()</f>
        <v>1</v>
      </c>
      <c r="W125" s="1" t="n">
        <f aca="false">TRUE()</f>
        <v>1</v>
      </c>
      <c r="X125" s="1" t="n">
        <f aca="false">FALSE()</f>
        <v>0</v>
      </c>
      <c r="Y125" s="1" t="n">
        <f aca="false">TRUE()</f>
        <v>1</v>
      </c>
      <c r="Z125" s="1" t="n">
        <f aca="false">FALSE()</f>
        <v>0</v>
      </c>
      <c r="AA125" s="1" t="n">
        <f aca="false">FALSE()</f>
        <v>0</v>
      </c>
      <c r="AB125" s="1" t="n">
        <f aca="false">FALSE()</f>
        <v>0</v>
      </c>
      <c r="AC125" s="1" t="n">
        <f aca="false">FALSE()</f>
        <v>0</v>
      </c>
      <c r="AD125" s="1" t="n">
        <f aca="false">FALSE()</f>
        <v>0</v>
      </c>
      <c r="AE125" s="1" t="n">
        <f aca="false">FALSE()</f>
        <v>0</v>
      </c>
      <c r="AF125" s="1" t="n">
        <f aca="false">FALSE()</f>
        <v>0</v>
      </c>
      <c r="AG125" s="1" t="n">
        <f aca="false">FALSE()</f>
        <v>0</v>
      </c>
      <c r="AH125" s="1" t="n">
        <f aca="false">FALSE()</f>
        <v>0</v>
      </c>
      <c r="AI125" s="1" t="n">
        <f aca="false">FALSE()</f>
        <v>0</v>
      </c>
      <c r="AJ125" s="1" t="n">
        <f aca="false">FALSE()</f>
        <v>0</v>
      </c>
      <c r="AK125" s="1" t="n">
        <f aca="false" t="array" ref="AK125:AK125">SUM(IF(Q125:U125,1,0))</f>
        <v>5</v>
      </c>
      <c r="AL125" s="14" t="n">
        <f aca="false" t="array" ref="AL125:AL125">SUM(IF(V125:Z125,1,0))</f>
        <v>3</v>
      </c>
      <c r="AM125" s="14" t="n">
        <f aca="false" t="array" ref="AM125:AM125">SUM(IF(AA125:AE125,1,0))</f>
        <v>0</v>
      </c>
      <c r="AN125" s="14" t="n">
        <f aca="false" t="array" ref="AN125:AN125">SUM(IF(AF125:AJ125,1,0))</f>
        <v>0</v>
      </c>
      <c r="AO125" s="1" t="n">
        <f aca="false">FALSE()</f>
        <v>0</v>
      </c>
      <c r="AP125" s="1" t="n">
        <f aca="false">IF(O125 = 2,COUNTIF(Q125:AJ125,"TRUE"),-1)</f>
        <v>8</v>
      </c>
    </row>
    <row r="126" customFormat="false" ht="15.75" hidden="false" customHeight="false" outlineLevel="0" collapsed="false">
      <c r="A126" s="8" t="e">
        <f aca="true">INDIRECT("'Ответы на форму (1)'!A"&amp;$N126,TRUE())</f>
        <v>#REF!</v>
      </c>
      <c r="B126" s="0" t="e">
        <f aca="true">INDIRECT("'Ответы на форму (1)'!B"&amp;$N126,TRUE())</f>
        <v>#REF!</v>
      </c>
      <c r="C126" s="0" t="e">
        <f aca="true">INDIRECT("'Ответы на форму (1)'!C"&amp;$N126,TRUE())</f>
        <v>#REF!</v>
      </c>
      <c r="D126" s="0" t="e">
        <f aca="true">INDIRECT("'Ответы на форму (1)'!D"&amp;$N126,TRUE())</f>
        <v>#REF!</v>
      </c>
      <c r="E126" s="0" t="n">
        <f aca="false">IFERROR(__xludf.dummyfunction("iferror(VALUE(REGEXEXTRACT(TEXT(INDIRECT(""'Ответы на форму (1)'!E""&amp;$N126,TRUE),""####""),""[0-9]+"")),IF(IFERROR(SEARCH(""моцро"",INDIRECT(""'Ответы на форму (1)'!E""&amp;$N126,TRUE)),-1) &gt;= 0,117,INDIRECT(""'Ответы на форму (1)'!E""&amp;$N126,TRUE)))"),117)</f>
        <v>117</v>
      </c>
      <c r="F126" s="0" t="e">
        <f aca="true">INDIRECT("'Ответы на форму (1)'!F"&amp;$N126,TRUE())</f>
        <v>#REF!</v>
      </c>
      <c r="G126" s="9" t="e">
        <f aca="true">IFERROR(MID(INDIRECT("'Ответы на форму (1)'!G"&amp;$N126,TRUE()),SEARCH("vk.com",INDIRECT("'Ответы на форму (1)'!G"&amp;$N126,TRUE())),LEN(INDIRECT("'Ответы на форму (1)'!G"&amp;$N126,TRUE()))),INDIRECT("'Ответы на форму (1)'!G"&amp;$N126,TRUE()))</f>
        <v>#REF!</v>
      </c>
      <c r="H126" s="0" t="e">
        <f aca="true">INDIRECT("'Ответы на форму (1)'!H"&amp;$N126,TRUE())</f>
        <v>#REF!</v>
      </c>
      <c r="I126" s="12" t="e">
        <f aca="true">INDIRECT("'Ответы на форму (1)'!I"&amp;$N126,TRUE())</f>
        <v>#REF!</v>
      </c>
      <c r="J126" s="12" t="e">
        <f aca="true">INDIRECT("'Ответы на форму (1)'!J"&amp;$N126,TRUE())</f>
        <v>#REF!</v>
      </c>
      <c r="K126" s="12" t="e">
        <f aca="true">INDIRECT("'Ответы на форму (1)'!K"&amp;$N126,TRUE())</f>
        <v>#REF!</v>
      </c>
      <c r="L126" s="12" t="e">
        <f aca="true">INDIRECT("'Ответы на форму (1)'!L"&amp;$N126,TRUE())</f>
        <v>#REF!</v>
      </c>
      <c r="M126" s="0" t="e">
        <f aca="false" t="array" ref="M126:M126">IF(B126 &lt;&gt; "",IF(COUNTIF(concat(TRIM('Список прошлого года'!$B$2:$B$200),TRIM('Список прошлого года'!$C$2:$C$200)),concat(TRIM(B126),TRIM(C126))) &gt; 0,"Да","Нет"),"")</f>
        <v>#REF!</v>
      </c>
      <c r="N126" s="1" t="n">
        <v>143</v>
      </c>
      <c r="O126" s="1" t="n">
        <v>-1</v>
      </c>
      <c r="Q126" s="1" t="n">
        <f aca="false">FALSE()</f>
        <v>0</v>
      </c>
      <c r="R126" s="1" t="n">
        <f aca="false">FALSE()</f>
        <v>0</v>
      </c>
      <c r="S126" s="1" t="n">
        <f aca="false">FALSE()</f>
        <v>0</v>
      </c>
      <c r="T126" s="1" t="n">
        <f aca="false">FALSE()</f>
        <v>0</v>
      </c>
      <c r="U126" s="1" t="n">
        <f aca="false">FALSE()</f>
        <v>0</v>
      </c>
      <c r="V126" s="1" t="n">
        <f aca="false">FALSE()</f>
        <v>0</v>
      </c>
      <c r="W126" s="1" t="n">
        <f aca="false">FALSE()</f>
        <v>0</v>
      </c>
      <c r="X126" s="1" t="n">
        <f aca="false">FALSE()</f>
        <v>0</v>
      </c>
      <c r="Y126" s="1" t="n">
        <f aca="false">FALSE()</f>
        <v>0</v>
      </c>
      <c r="Z126" s="1" t="n">
        <f aca="false">FALSE()</f>
        <v>0</v>
      </c>
      <c r="AA126" s="1" t="n">
        <f aca="false">FALSE()</f>
        <v>0</v>
      </c>
      <c r="AB126" s="1" t="n">
        <f aca="false">FALSE()</f>
        <v>0</v>
      </c>
      <c r="AC126" s="1" t="n">
        <f aca="false">FALSE()</f>
        <v>0</v>
      </c>
      <c r="AD126" s="1" t="n">
        <f aca="false">FALSE()</f>
        <v>0</v>
      </c>
      <c r="AE126" s="1" t="n">
        <f aca="false">FALSE()</f>
        <v>0</v>
      </c>
      <c r="AF126" s="1" t="n">
        <f aca="false">FALSE()</f>
        <v>0</v>
      </c>
      <c r="AG126" s="1" t="n">
        <f aca="false">FALSE()</f>
        <v>0</v>
      </c>
      <c r="AH126" s="1" t="n">
        <f aca="false">FALSE()</f>
        <v>0</v>
      </c>
      <c r="AI126" s="1" t="n">
        <f aca="false">FALSE()</f>
        <v>0</v>
      </c>
      <c r="AJ126" s="1" t="n">
        <f aca="false">FALSE()</f>
        <v>0</v>
      </c>
      <c r="AK126" s="1" t="n">
        <f aca="false" t="array" ref="AK126:AK126">SUM(IF(Q126:U126,1,0))</f>
        <v>0</v>
      </c>
      <c r="AL126" s="14" t="n">
        <f aca="false" t="array" ref="AL126:AL126">SUM(IF(V126:Z126,1,0))</f>
        <v>0</v>
      </c>
      <c r="AM126" s="14" t="n">
        <f aca="false" t="array" ref="AM126:AM126">SUM(IF(AA126:AE126,1,0))</f>
        <v>0</v>
      </c>
      <c r="AN126" s="14" t="n">
        <f aca="false" t="array" ref="AN126:AN126">SUM(IF(AF126:AJ126,1,0))</f>
        <v>0</v>
      </c>
      <c r="AO126" s="1" t="n">
        <f aca="false">FALSE()</f>
        <v>0</v>
      </c>
      <c r="AP126" s="1" t="n">
        <f aca="false">IF(O126 = 2,COUNTIF(Q126:AJ126,"TRUE"),-1)</f>
        <v>-1</v>
      </c>
    </row>
    <row r="127" customFormat="false" ht="15.75" hidden="false" customHeight="false" outlineLevel="0" collapsed="false">
      <c r="A127" s="8" t="e">
        <f aca="true">INDIRECT("'Ответы на форму (1)'!A"&amp;$N127,TRUE())</f>
        <v>#REF!</v>
      </c>
      <c r="B127" s="0" t="e">
        <f aca="true">INDIRECT("'Ответы на форму (1)'!B"&amp;$N127,TRUE())</f>
        <v>#REF!</v>
      </c>
      <c r="C127" s="0" t="e">
        <f aca="true">INDIRECT("'Ответы на форму (1)'!C"&amp;$N127,TRUE())</f>
        <v>#REF!</v>
      </c>
      <c r="D127" s="0" t="e">
        <f aca="true">INDIRECT("'Ответы на форму (1)'!D"&amp;$N127,TRUE())</f>
        <v>#REF!</v>
      </c>
      <c r="E127" s="0" t="n">
        <f aca="false">IFERROR(__xludf.dummyfunction("iferror(VALUE(REGEXEXTRACT(TEXT(INDIRECT(""'Ответы на форму (1)'!E""&amp;$N127,TRUE),""####""),""[0-9]+"")),IF(IFERROR(SEARCH(""моцро"",INDIRECT(""'Ответы на форму (1)'!E""&amp;$N127,TRUE)),-1) &gt;= 0,117,INDIRECT(""'Ответы на форму (1)'!E""&amp;$N127,TRUE)))"),146)</f>
        <v>146</v>
      </c>
      <c r="F127" s="0" t="e">
        <f aca="true">INDIRECT("'Ответы на форму (1)'!F"&amp;$N127,TRUE())</f>
        <v>#REF!</v>
      </c>
      <c r="G127" s="9" t="e">
        <f aca="true">IFERROR(MID(INDIRECT("'Ответы на форму (1)'!G"&amp;$N127,TRUE()),SEARCH("vk.com",INDIRECT("'Ответы на форму (1)'!G"&amp;$N127,TRUE())),LEN(INDIRECT("'Ответы на форму (1)'!G"&amp;$N127,TRUE()))),INDIRECT("'Ответы на форму (1)'!G"&amp;$N127,TRUE()))</f>
        <v>#REF!</v>
      </c>
      <c r="H127" s="0" t="e">
        <f aca="true">INDIRECT("'Ответы на форму (1)'!H"&amp;$N127,TRUE())</f>
        <v>#REF!</v>
      </c>
      <c r="I127" s="12" t="e">
        <f aca="true">INDIRECT("'Ответы на форму (1)'!I"&amp;$N127,TRUE())</f>
        <v>#REF!</v>
      </c>
      <c r="J127" s="12" t="e">
        <f aca="true">INDIRECT("'Ответы на форму (1)'!J"&amp;$N127,TRUE())</f>
        <v>#REF!</v>
      </c>
      <c r="K127" s="12" t="e">
        <f aca="true">INDIRECT("'Ответы на форму (1)'!K"&amp;$N127,TRUE())</f>
        <v>#REF!</v>
      </c>
      <c r="L127" s="12" t="e">
        <f aca="true">INDIRECT("'Ответы на форму (1)'!L"&amp;$N127,TRUE())</f>
        <v>#REF!</v>
      </c>
      <c r="M127" s="0" t="e">
        <f aca="false" t="array" ref="M127:M127">IF(B127 &lt;&gt; "",IF(COUNTIF(concat(TRIM('Список прошлого года'!$B$2:$B$200),TRIM('Список прошлого года'!$C$2:$C$200)),concat(TRIM(B127),TRIM(C127))) &gt; 0,"Да","Нет"),"")</f>
        <v>#REF!</v>
      </c>
      <c r="N127" s="1" t="n">
        <v>144</v>
      </c>
      <c r="O127" s="1" t="n">
        <v>2</v>
      </c>
      <c r="Q127" s="1" t="n">
        <f aca="false">FALSE()</f>
        <v>0</v>
      </c>
      <c r="R127" s="1" t="n">
        <f aca="false">FALSE()</f>
        <v>0</v>
      </c>
      <c r="S127" s="1" t="n">
        <f aca="false">FALSE()</f>
        <v>0</v>
      </c>
      <c r="T127" s="1" t="n">
        <f aca="false">FALSE()</f>
        <v>0</v>
      </c>
      <c r="U127" s="1" t="n">
        <f aca="false">FALSE()</f>
        <v>0</v>
      </c>
      <c r="V127" s="1" t="n">
        <f aca="false">FALSE()</f>
        <v>0</v>
      </c>
      <c r="W127" s="1" t="n">
        <f aca="false">FALSE()</f>
        <v>0</v>
      </c>
      <c r="X127" s="1" t="n">
        <f aca="false">FALSE()</f>
        <v>0</v>
      </c>
      <c r="Y127" s="1" t="n">
        <f aca="false">FALSE()</f>
        <v>0</v>
      </c>
      <c r="Z127" s="1" t="n">
        <f aca="false">FALSE()</f>
        <v>0</v>
      </c>
      <c r="AA127" s="1" t="n">
        <f aca="false">FALSE()</f>
        <v>0</v>
      </c>
      <c r="AB127" s="1" t="n">
        <f aca="false">FALSE()</f>
        <v>0</v>
      </c>
      <c r="AC127" s="1" t="n">
        <f aca="false">FALSE()</f>
        <v>0</v>
      </c>
      <c r="AD127" s="1" t="n">
        <f aca="false">FALSE()</f>
        <v>0</v>
      </c>
      <c r="AE127" s="1" t="n">
        <f aca="false">FALSE()</f>
        <v>0</v>
      </c>
      <c r="AF127" s="1" t="n">
        <f aca="false">FALSE()</f>
        <v>0</v>
      </c>
      <c r="AG127" s="1" t="n">
        <f aca="false">FALSE()</f>
        <v>0</v>
      </c>
      <c r="AH127" s="1" t="n">
        <f aca="false">FALSE()</f>
        <v>0</v>
      </c>
      <c r="AI127" s="1" t="n">
        <f aca="false">FALSE()</f>
        <v>0</v>
      </c>
      <c r="AJ127" s="1" t="n">
        <f aca="false">FALSE()</f>
        <v>0</v>
      </c>
      <c r="AK127" s="1" t="n">
        <f aca="false" t="array" ref="AK127:AK127">SUM(IF(Q127:U127,1,0))</f>
        <v>0</v>
      </c>
      <c r="AL127" s="14" t="n">
        <f aca="false" t="array" ref="AL127:AL127">SUM(IF(V127:Z127,1,0))</f>
        <v>0</v>
      </c>
      <c r="AM127" s="14" t="n">
        <f aca="false" t="array" ref="AM127:AM127">SUM(IF(AA127:AE127,1,0))</f>
        <v>0</v>
      </c>
      <c r="AN127" s="14" t="n">
        <f aca="false" t="array" ref="AN127:AN127">SUM(IF(AF127:AJ127,1,0))</f>
        <v>0</v>
      </c>
      <c r="AO127" s="1" t="n">
        <f aca="false">FALSE()</f>
        <v>0</v>
      </c>
      <c r="AP127" s="1" t="n">
        <f aca="false">IF(O127 = 2,COUNTIF(Q127:AJ127,"TRUE"),-1)</f>
        <v>0</v>
      </c>
    </row>
    <row r="128" customFormat="false" ht="15.75" hidden="false" customHeight="false" outlineLevel="0" collapsed="false">
      <c r="A128" s="8" t="e">
        <f aca="true">INDIRECT("'Ответы на форму (1)'!A"&amp;$N128,TRUE())</f>
        <v>#REF!</v>
      </c>
      <c r="B128" s="0" t="e">
        <f aca="true">INDIRECT("'Ответы на форму (1)'!B"&amp;$N128,TRUE())</f>
        <v>#REF!</v>
      </c>
      <c r="C128" s="0" t="e">
        <f aca="true">INDIRECT("'Ответы на форму (1)'!C"&amp;$N128,TRUE())</f>
        <v>#REF!</v>
      </c>
      <c r="D128" s="0" t="e">
        <f aca="true">INDIRECT("'Ответы на форму (1)'!D"&amp;$N128,TRUE())</f>
        <v>#REF!</v>
      </c>
      <c r="E128" s="0" t="n">
        <f aca="false">IFERROR(__xludf.dummyfunction("iferror(VALUE(REGEXEXTRACT(TEXT(INDIRECT(""'Ответы на форму (1)'!E""&amp;$N128,TRUE),""####""),""[0-9]+"")),IF(IFERROR(SEARCH(""моцро"",INDIRECT(""'Ответы на форму (1)'!E""&amp;$N128,TRUE)),-1) &gt;= 0,117,INDIRECT(""'Ответы на форму (1)'!E""&amp;$N128,TRUE)))"),149)</f>
        <v>149</v>
      </c>
      <c r="F128" s="0" t="e">
        <f aca="true">INDIRECT("'Ответы на форму (1)'!F"&amp;$N128,TRUE())</f>
        <v>#REF!</v>
      </c>
      <c r="G128" s="9" t="e">
        <f aca="true">IFERROR(MID(INDIRECT("'Ответы на форму (1)'!G"&amp;$N128,TRUE()),SEARCH("vk.com",INDIRECT("'Ответы на форму (1)'!G"&amp;$N128,TRUE())),LEN(INDIRECT("'Ответы на форму (1)'!G"&amp;$N128,TRUE()))),INDIRECT("'Ответы на форму (1)'!G"&amp;$N128,TRUE()))</f>
        <v>#REF!</v>
      </c>
      <c r="H128" s="0" t="e">
        <f aca="true">INDIRECT("'Ответы на форму (1)'!H"&amp;$N128,TRUE())</f>
        <v>#REF!</v>
      </c>
      <c r="I128" s="12" t="e">
        <f aca="true">INDIRECT("'Ответы на форму (1)'!I"&amp;$N128,TRUE())</f>
        <v>#REF!</v>
      </c>
      <c r="J128" s="12" t="e">
        <f aca="true">INDIRECT("'Ответы на форму (1)'!J"&amp;$N128,TRUE())</f>
        <v>#REF!</v>
      </c>
      <c r="K128" s="12" t="e">
        <f aca="true">INDIRECT("'Ответы на форму (1)'!K"&amp;$N128,TRUE())</f>
        <v>#REF!</v>
      </c>
      <c r="L128" s="12" t="e">
        <f aca="true">INDIRECT("'Ответы на форму (1)'!L"&amp;$N128,TRUE())</f>
        <v>#REF!</v>
      </c>
      <c r="M128" s="0" t="e">
        <f aca="false" t="array" ref="M128:M128">IF(B128 &lt;&gt; "",IF(COUNTIF(concat(TRIM('Список прошлого года'!$B$2:$B$200),TRIM('Список прошлого года'!$C$2:$C$200)),concat(TRIM(B128),TRIM(C128))) &gt; 0,"Да","Нет"),"")</f>
        <v>#REF!</v>
      </c>
      <c r="N128" s="1" t="n">
        <v>145</v>
      </c>
      <c r="O128" s="1" t="n">
        <v>2</v>
      </c>
      <c r="Q128" s="1" t="n">
        <f aca="false">FALSE()</f>
        <v>0</v>
      </c>
      <c r="R128" s="1" t="n">
        <f aca="false">FALSE()</f>
        <v>0</v>
      </c>
      <c r="S128" s="1" t="n">
        <f aca="false">FALSE()</f>
        <v>0</v>
      </c>
      <c r="T128" s="1" t="n">
        <f aca="false">FALSE()</f>
        <v>0</v>
      </c>
      <c r="U128" s="1" t="n">
        <f aca="false">FALSE()</f>
        <v>0</v>
      </c>
      <c r="V128" s="1" t="n">
        <f aca="false">FALSE()</f>
        <v>0</v>
      </c>
      <c r="W128" s="1" t="n">
        <f aca="false">FALSE()</f>
        <v>0</v>
      </c>
      <c r="X128" s="1" t="n">
        <f aca="false">FALSE()</f>
        <v>0</v>
      </c>
      <c r="Y128" s="1" t="n">
        <f aca="false">FALSE()</f>
        <v>0</v>
      </c>
      <c r="Z128" s="1" t="n">
        <f aca="false">FALSE()</f>
        <v>0</v>
      </c>
      <c r="AA128" s="1" t="n">
        <f aca="false">FALSE()</f>
        <v>0</v>
      </c>
      <c r="AB128" s="1" t="n">
        <f aca="false">FALSE()</f>
        <v>0</v>
      </c>
      <c r="AC128" s="1" t="n">
        <f aca="false">FALSE()</f>
        <v>0</v>
      </c>
      <c r="AD128" s="1" t="n">
        <f aca="false">FALSE()</f>
        <v>0</v>
      </c>
      <c r="AE128" s="1" t="n">
        <f aca="false">FALSE()</f>
        <v>0</v>
      </c>
      <c r="AF128" s="1" t="n">
        <f aca="false">FALSE()</f>
        <v>0</v>
      </c>
      <c r="AG128" s="1" t="n">
        <f aca="false">FALSE()</f>
        <v>0</v>
      </c>
      <c r="AH128" s="1" t="n">
        <f aca="false">FALSE()</f>
        <v>0</v>
      </c>
      <c r="AI128" s="1" t="n">
        <f aca="false">FALSE()</f>
        <v>0</v>
      </c>
      <c r="AJ128" s="1" t="n">
        <f aca="false">FALSE()</f>
        <v>0</v>
      </c>
      <c r="AK128" s="1" t="n">
        <f aca="false" t="array" ref="AK128:AK128">SUM(IF(Q128:U128,1,0))</f>
        <v>0</v>
      </c>
      <c r="AL128" s="14" t="n">
        <f aca="false" t="array" ref="AL128:AL128">SUM(IF(V128:Z128,1,0))</f>
        <v>0</v>
      </c>
      <c r="AM128" s="14" t="n">
        <f aca="false" t="array" ref="AM128:AM128">SUM(IF(AA128:AE128,1,0))</f>
        <v>0</v>
      </c>
      <c r="AN128" s="14" t="n">
        <f aca="false" t="array" ref="AN128:AN128">SUM(IF(AF128:AJ128,1,0))</f>
        <v>0</v>
      </c>
      <c r="AO128" s="1" t="n">
        <f aca="false">FALSE()</f>
        <v>0</v>
      </c>
      <c r="AP128" s="1" t="n">
        <f aca="false">IF(O128 = 2,COUNTIF(Q128:AJ128,"TRUE"),-1)</f>
        <v>0</v>
      </c>
    </row>
    <row r="129" customFormat="false" ht="15.75" hidden="false" customHeight="false" outlineLevel="0" collapsed="false">
      <c r="A129" s="8" t="e">
        <f aca="true">INDIRECT("'Ответы на форму (1)'!A"&amp;$N129,TRUE())</f>
        <v>#REF!</v>
      </c>
      <c r="B129" s="0" t="e">
        <f aca="true">INDIRECT("'Ответы на форму (1)'!B"&amp;$N129,TRUE())</f>
        <v>#REF!</v>
      </c>
      <c r="C129" s="0" t="e">
        <f aca="true">INDIRECT("'Ответы на форму (1)'!C"&amp;$N129,TRUE())</f>
        <v>#REF!</v>
      </c>
      <c r="D129" s="0" t="e">
        <f aca="true">INDIRECT("'Ответы на форму (1)'!D"&amp;$N129,TRUE())</f>
        <v>#REF!</v>
      </c>
      <c r="E129" s="0" t="n">
        <f aca="false">IFERROR(__xludf.dummyfunction("iferror(VALUE(REGEXEXTRACT(TEXT(INDIRECT(""'Ответы на форму (1)'!E""&amp;$N129,TRUE),""####""),""[0-9]+"")),IF(IFERROR(SEARCH(""моцро"",INDIRECT(""'Ответы на форму (1)'!E""&amp;$N129,TRUE)),-1) &gt;= 0,117,INDIRECT(""'Ответы на форму (1)'!E""&amp;$N129,TRUE)))"),149)</f>
        <v>149</v>
      </c>
      <c r="F129" s="0" t="e">
        <f aca="true">INDIRECT("'Ответы на форму (1)'!F"&amp;$N129,TRUE())</f>
        <v>#REF!</v>
      </c>
      <c r="G129" s="9" t="e">
        <f aca="true">IFERROR(MID(INDIRECT("'Ответы на форму (1)'!G"&amp;$N129,TRUE()),SEARCH("vk.com",INDIRECT("'Ответы на форму (1)'!G"&amp;$N129,TRUE())),LEN(INDIRECT("'Ответы на форму (1)'!G"&amp;$N129,TRUE()))),INDIRECT("'Ответы на форму (1)'!G"&amp;$N129,TRUE()))</f>
        <v>#REF!</v>
      </c>
      <c r="H129" s="0" t="e">
        <f aca="true">INDIRECT("'Ответы на форму (1)'!H"&amp;$N129,TRUE())</f>
        <v>#REF!</v>
      </c>
      <c r="I129" s="12" t="e">
        <f aca="true">INDIRECT("'Ответы на форму (1)'!I"&amp;$N129,TRUE())</f>
        <v>#REF!</v>
      </c>
      <c r="J129" s="12" t="e">
        <f aca="true">INDIRECT("'Ответы на форму (1)'!J"&amp;$N129,TRUE())</f>
        <v>#REF!</v>
      </c>
      <c r="K129" s="12" t="e">
        <f aca="true">INDIRECT("'Ответы на форму (1)'!K"&amp;$N129,TRUE())</f>
        <v>#REF!</v>
      </c>
      <c r="L129" s="12" t="e">
        <f aca="true">INDIRECT("'Ответы на форму (1)'!L"&amp;$N129,TRUE())</f>
        <v>#REF!</v>
      </c>
      <c r="M129" s="0" t="e">
        <f aca="false" t="array" ref="M129:M129">IF(B129 &lt;&gt; "",IF(COUNTIF(concat(TRIM('Список прошлого года'!$B$2:$B$200),TRIM('Список прошлого года'!$C$2:$C$200)),concat(TRIM(B129),TRIM(C129))) &gt; 0,"Да","Нет"),"")</f>
        <v>#REF!</v>
      </c>
      <c r="N129" s="1" t="n">
        <v>147</v>
      </c>
      <c r="O129" s="1" t="n">
        <v>2</v>
      </c>
      <c r="Q129" s="1" t="n">
        <f aca="false">TRUE()</f>
        <v>1</v>
      </c>
      <c r="R129" s="1" t="n">
        <f aca="false">TRUE()</f>
        <v>1</v>
      </c>
      <c r="S129" s="1" t="n">
        <f aca="false">TRUE()</f>
        <v>1</v>
      </c>
      <c r="T129" s="1" t="n">
        <f aca="false">FALSE()</f>
        <v>0</v>
      </c>
      <c r="U129" s="1" t="n">
        <f aca="false">FALSE()</f>
        <v>0</v>
      </c>
      <c r="V129" s="1" t="n">
        <f aca="false">TRUE()</f>
        <v>1</v>
      </c>
      <c r="W129" s="1" t="n">
        <f aca="false">TRUE()</f>
        <v>1</v>
      </c>
      <c r="X129" s="1" t="n">
        <f aca="false">TRUE()</f>
        <v>1</v>
      </c>
      <c r="Y129" s="1" t="n">
        <f aca="false">FALSE()</f>
        <v>0</v>
      </c>
      <c r="Z129" s="1" t="n">
        <f aca="false">FALSE()</f>
        <v>0</v>
      </c>
      <c r="AA129" s="1" t="n">
        <f aca="false">FALSE()</f>
        <v>0</v>
      </c>
      <c r="AB129" s="1" t="n">
        <f aca="false">FALSE()</f>
        <v>0</v>
      </c>
      <c r="AC129" s="1" t="n">
        <f aca="false">FALSE()</f>
        <v>0</v>
      </c>
      <c r="AD129" s="1" t="n">
        <f aca="false">FALSE()</f>
        <v>0</v>
      </c>
      <c r="AE129" s="1" t="n">
        <f aca="false">FALSE()</f>
        <v>0</v>
      </c>
      <c r="AF129" s="1" t="n">
        <f aca="false">FALSE()</f>
        <v>0</v>
      </c>
      <c r="AG129" s="1" t="n">
        <f aca="false">FALSE()</f>
        <v>0</v>
      </c>
      <c r="AH129" s="1" t="n">
        <f aca="false">FALSE()</f>
        <v>0</v>
      </c>
      <c r="AI129" s="1" t="n">
        <f aca="false">FALSE()</f>
        <v>0</v>
      </c>
      <c r="AJ129" s="1" t="n">
        <f aca="false">FALSE()</f>
        <v>0</v>
      </c>
      <c r="AK129" s="1" t="n">
        <f aca="false" t="array" ref="AK129:AK129">SUM(IF(Q129:U129,1,0))</f>
        <v>3</v>
      </c>
      <c r="AL129" s="14" t="n">
        <f aca="false" t="array" ref="AL129:AL129">SUM(IF(V129:Z129,1,0))</f>
        <v>3</v>
      </c>
      <c r="AM129" s="14" t="n">
        <f aca="false" t="array" ref="AM129:AM129">SUM(IF(AA129:AE129,1,0))</f>
        <v>0</v>
      </c>
      <c r="AN129" s="14" t="n">
        <f aca="false" t="array" ref="AN129:AN129">SUM(IF(AF129:AJ129,1,0))</f>
        <v>0</v>
      </c>
      <c r="AO129" s="1" t="n">
        <f aca="false">FALSE()</f>
        <v>0</v>
      </c>
      <c r="AP129" s="1" t="n">
        <f aca="false">IF(O129 = 2,COUNTIF(Q129:AJ129,"TRUE"),-1)</f>
        <v>6</v>
      </c>
    </row>
    <row r="130" customFormat="false" ht="15.75" hidden="false" customHeight="false" outlineLevel="0" collapsed="false">
      <c r="A130" s="8" t="e">
        <f aca="true">INDIRECT("'Ответы на форму (1)'!A"&amp;$N130,TRUE())</f>
        <v>#REF!</v>
      </c>
      <c r="B130" s="0" t="e">
        <f aca="true">INDIRECT("'Ответы на форму (1)'!B"&amp;$N130,TRUE())</f>
        <v>#REF!</v>
      </c>
      <c r="C130" s="0" t="e">
        <f aca="true">INDIRECT("'Ответы на форму (1)'!C"&amp;$N130,TRUE())</f>
        <v>#REF!</v>
      </c>
      <c r="D130" s="0" t="e">
        <f aca="true">INDIRECT("'Ответы на форму (1)'!D"&amp;$N130,TRUE())</f>
        <v>#REF!</v>
      </c>
      <c r="E130" s="0" t="n">
        <f aca="false">IFERROR(__xludf.dummyfunction("iferror(VALUE(REGEXEXTRACT(TEXT(INDIRECT(""'Ответы на форму (1)'!E""&amp;$N130,TRUE),""####""),""[0-9]+"")),IF(IFERROR(SEARCH(""моцро"",INDIRECT(""'Ответы на форму (1)'!E""&amp;$N130,TRUE)),-1) &gt;= 0,117,INDIRECT(""'Ответы на форму (1)'!E""&amp;$N130,TRUE)))"),117)</f>
        <v>117</v>
      </c>
      <c r="F130" s="0" t="e">
        <f aca="true">INDIRECT("'Ответы на форму (1)'!F"&amp;$N130,TRUE())</f>
        <v>#REF!</v>
      </c>
      <c r="G130" s="9" t="e">
        <f aca="true">IFERROR(MID(INDIRECT("'Ответы на форму (1)'!G"&amp;$N130,TRUE()),SEARCH("vk.com",INDIRECT("'Ответы на форму (1)'!G"&amp;$N130,TRUE())),LEN(INDIRECT("'Ответы на форму (1)'!G"&amp;$N130,TRUE()))),INDIRECT("'Ответы на форму (1)'!G"&amp;$N130,TRUE()))</f>
        <v>#REF!</v>
      </c>
      <c r="H130" s="0" t="e">
        <f aca="true">INDIRECT("'Ответы на форму (1)'!H"&amp;$N130,TRUE())</f>
        <v>#REF!</v>
      </c>
      <c r="I130" s="12" t="e">
        <f aca="true">INDIRECT("'Ответы на форму (1)'!I"&amp;$N130,TRUE())</f>
        <v>#REF!</v>
      </c>
      <c r="J130" s="12" t="e">
        <f aca="true">INDIRECT("'Ответы на форму (1)'!J"&amp;$N130,TRUE())</f>
        <v>#REF!</v>
      </c>
      <c r="K130" s="12" t="e">
        <f aca="true">INDIRECT("'Ответы на форму (1)'!K"&amp;$N130,TRUE())</f>
        <v>#REF!</v>
      </c>
      <c r="L130" s="12" t="e">
        <f aca="true">INDIRECT("'Ответы на форму (1)'!L"&amp;$N130,TRUE())</f>
        <v>#REF!</v>
      </c>
      <c r="M130" s="0" t="e">
        <f aca="false" t="array" ref="M130:M130">IF(B130 &lt;&gt; "",IF(COUNTIF(concat(TRIM('Список прошлого года'!$B$2:$B$200),TRIM('Список прошлого года'!$C$2:$C$200)),concat(TRIM(B130),TRIM(C130))) &gt; 0,"Да","Нет"),"")</f>
        <v>#REF!</v>
      </c>
      <c r="N130" s="1" t="n">
        <v>148</v>
      </c>
      <c r="O130" s="1" t="n">
        <v>2</v>
      </c>
      <c r="Q130" s="1" t="n">
        <f aca="false">TRUE()</f>
        <v>1</v>
      </c>
      <c r="R130" s="1" t="n">
        <f aca="false">FALSE()</f>
        <v>0</v>
      </c>
      <c r="S130" s="1" t="n">
        <f aca="false">FALSE()</f>
        <v>0</v>
      </c>
      <c r="T130" s="1" t="n">
        <f aca="false">FALSE()</f>
        <v>0</v>
      </c>
      <c r="U130" s="1" t="n">
        <f aca="false">FALSE()</f>
        <v>0</v>
      </c>
      <c r="V130" s="1" t="n">
        <f aca="false">TRUE()</f>
        <v>1</v>
      </c>
      <c r="W130" s="1" t="n">
        <f aca="false">TRUE()</f>
        <v>1</v>
      </c>
      <c r="X130" s="1" t="n">
        <f aca="false">FALSE()</f>
        <v>0</v>
      </c>
      <c r="Y130" s="1" t="n">
        <f aca="false">TRUE()</f>
        <v>1</v>
      </c>
      <c r="Z130" s="1" t="n">
        <f aca="false">TRUE()</f>
        <v>1</v>
      </c>
      <c r="AA130" s="1" t="n">
        <f aca="false">FALSE()</f>
        <v>0</v>
      </c>
      <c r="AB130" s="1" t="n">
        <f aca="false">FALSE()</f>
        <v>0</v>
      </c>
      <c r="AC130" s="1" t="n">
        <f aca="false">FALSE()</f>
        <v>0</v>
      </c>
      <c r="AD130" s="1" t="n">
        <f aca="false">FALSE()</f>
        <v>0</v>
      </c>
      <c r="AE130" s="1" t="n">
        <f aca="false">FALSE()</f>
        <v>0</v>
      </c>
      <c r="AF130" s="1" t="n">
        <f aca="false">TRUE()</f>
        <v>1</v>
      </c>
      <c r="AG130" s="1" t="n">
        <f aca="false">FALSE()</f>
        <v>0</v>
      </c>
      <c r="AH130" s="1" t="n">
        <f aca="false">FALSE()</f>
        <v>0</v>
      </c>
      <c r="AI130" s="1" t="n">
        <f aca="false">FALSE()</f>
        <v>0</v>
      </c>
      <c r="AJ130" s="1" t="n">
        <f aca="false">FALSE()</f>
        <v>0</v>
      </c>
      <c r="AK130" s="1" t="n">
        <f aca="false" t="array" ref="AK130:AK130">SUM(IF(Q130:U130,1,0))</f>
        <v>1</v>
      </c>
      <c r="AL130" s="14" t="n">
        <f aca="false" t="array" ref="AL130:AL130">SUM(IF(V130:Z130,1,0))</f>
        <v>4</v>
      </c>
      <c r="AM130" s="14" t="n">
        <f aca="false" t="array" ref="AM130:AM130">SUM(IF(AA130:AE130,1,0))</f>
        <v>0</v>
      </c>
      <c r="AN130" s="14" t="n">
        <f aca="false" t="array" ref="AN130:AN130">SUM(IF(AF130:AJ130,1,0))</f>
        <v>1</v>
      </c>
      <c r="AO130" s="1" t="n">
        <f aca="false">FALSE()</f>
        <v>0</v>
      </c>
      <c r="AP130" s="1" t="n">
        <f aca="false">IF(O130 = 2,COUNTIF(Q130:AJ130,"TRUE"),-1)</f>
        <v>6</v>
      </c>
    </row>
    <row r="131" customFormat="false" ht="15.75" hidden="false" customHeight="false" outlineLevel="0" collapsed="false">
      <c r="A131" s="8" t="e">
        <f aca="true">INDIRECT("'Ответы на форму (1)'!A"&amp;$N131,TRUE())</f>
        <v>#REF!</v>
      </c>
      <c r="B131" s="0" t="e">
        <f aca="true">INDIRECT("'Ответы на форму (1)'!B"&amp;$N131,TRUE())</f>
        <v>#REF!</v>
      </c>
      <c r="C131" s="0" t="e">
        <f aca="true">INDIRECT("'Ответы на форму (1)'!C"&amp;$N131,TRUE())</f>
        <v>#REF!</v>
      </c>
      <c r="D131" s="0" t="e">
        <f aca="true">INDIRECT("'Ответы на форму (1)'!D"&amp;$N131,TRUE())</f>
        <v>#REF!</v>
      </c>
      <c r="E131" s="0" t="n">
        <f aca="false">IFERROR(__xludf.dummyfunction("iferror(VALUE(REGEXEXTRACT(TEXT(INDIRECT(""'Ответы на форму (1)'!E""&amp;$N131,TRUE),""####""),""[0-9]+"")),IF(IFERROR(SEARCH(""моцро"",INDIRECT(""'Ответы на форму (1)'!E""&amp;$N131,TRUE)),-1) &gt;= 0,117,INDIRECT(""'Ответы на форму (1)'!E""&amp;$N131,TRUE)))"),149)</f>
        <v>149</v>
      </c>
      <c r="F131" s="0" t="e">
        <f aca="true">INDIRECT("'Ответы на форму (1)'!F"&amp;$N131,TRUE())</f>
        <v>#REF!</v>
      </c>
      <c r="G131" s="0" t="e">
        <f aca="true">IFERROR(MID(INDIRECT("'Ответы на форму (1)'!G"&amp;$N131,TRUE()),SEARCH("vk.com",INDIRECT("'Ответы на форму (1)'!G"&amp;$N131,TRUE())),LEN(INDIRECT("'Ответы на форму (1)'!G"&amp;$N131,TRUE()))),INDIRECT("'Ответы на форму (1)'!G"&amp;$N131,TRUE()))</f>
        <v>#REF!</v>
      </c>
      <c r="H131" s="0" t="e">
        <f aca="true">INDIRECT("'Ответы на форму (1)'!H"&amp;$N131,TRUE())</f>
        <v>#REF!</v>
      </c>
      <c r="I131" s="12" t="e">
        <f aca="true">INDIRECT("'Ответы на форму (1)'!I"&amp;$N131,TRUE())</f>
        <v>#REF!</v>
      </c>
      <c r="J131" s="12" t="e">
        <f aca="true">INDIRECT("'Ответы на форму (1)'!J"&amp;$N131,TRUE())</f>
        <v>#REF!</v>
      </c>
      <c r="K131" s="12" t="e">
        <f aca="true">INDIRECT("'Ответы на форму (1)'!K"&amp;$N131,TRUE())</f>
        <v>#REF!</v>
      </c>
      <c r="L131" s="12" t="e">
        <f aca="true">INDIRECT("'Ответы на форму (1)'!L"&amp;$N131,TRUE())</f>
        <v>#REF!</v>
      </c>
      <c r="M131" s="0" t="e">
        <f aca="false" t="array" ref="M131:M131">IF(B131 &lt;&gt; "",IF(COUNTIF(concat(TRIM('Список прошлого года'!$B$2:$B$200),TRIM('Список прошлого года'!$C$2:$C$200)),concat(TRIM(B131),TRIM(C131))) &gt; 0,"Да","Нет"),"")</f>
        <v>#REF!</v>
      </c>
      <c r="N131" s="1" t="n">
        <v>149</v>
      </c>
      <c r="O131" s="1" t="n">
        <v>2</v>
      </c>
      <c r="Q131" s="1" t="n">
        <f aca="false">TRUE()</f>
        <v>1</v>
      </c>
      <c r="R131" s="1" t="n">
        <f aca="false">TRUE()</f>
        <v>1</v>
      </c>
      <c r="S131" s="1" t="n">
        <f aca="false">FALSE()</f>
        <v>0</v>
      </c>
      <c r="T131" s="1" t="n">
        <f aca="false">TRUE()</f>
        <v>1</v>
      </c>
      <c r="U131" s="1" t="n">
        <f aca="false">TRUE()</f>
        <v>1</v>
      </c>
      <c r="V131" s="1" t="n">
        <f aca="false">TRUE()</f>
        <v>1</v>
      </c>
      <c r="W131" s="1" t="n">
        <f aca="false">TRUE()</f>
        <v>1</v>
      </c>
      <c r="X131" s="1" t="n">
        <f aca="false">FALSE()</f>
        <v>0</v>
      </c>
      <c r="Y131" s="1" t="n">
        <f aca="false">TRUE()</f>
        <v>1</v>
      </c>
      <c r="Z131" s="1" t="n">
        <f aca="false">TRUE()</f>
        <v>1</v>
      </c>
      <c r="AA131" s="1" t="n">
        <f aca="false">FALSE()</f>
        <v>0</v>
      </c>
      <c r="AB131" s="1" t="n">
        <f aca="false">TRUE()</f>
        <v>1</v>
      </c>
      <c r="AC131" s="1" t="n">
        <f aca="false">TRUE()</f>
        <v>1</v>
      </c>
      <c r="AD131" s="1" t="n">
        <f aca="false">TRUE()</f>
        <v>1</v>
      </c>
      <c r="AE131" s="1" t="n">
        <f aca="false">TRUE()</f>
        <v>1</v>
      </c>
      <c r="AF131" s="1" t="n">
        <f aca="false">FALSE()</f>
        <v>0</v>
      </c>
      <c r="AG131" s="1" t="n">
        <f aca="false">TRUE()</f>
        <v>1</v>
      </c>
      <c r="AH131" s="1" t="n">
        <f aca="false">TRUE()</f>
        <v>1</v>
      </c>
      <c r="AI131" s="1" t="n">
        <f aca="false">TRUE()</f>
        <v>1</v>
      </c>
      <c r="AJ131" s="1" t="n">
        <f aca="false">TRUE()</f>
        <v>1</v>
      </c>
      <c r="AK131" s="1" t="n">
        <f aca="false" t="array" ref="AK131:AK131">SUM(IF(Q131:U131,1,0))</f>
        <v>4</v>
      </c>
      <c r="AL131" s="14" t="n">
        <f aca="false" t="array" ref="AL131:AL131">SUM(IF(V131:Z131,1,0))</f>
        <v>4</v>
      </c>
      <c r="AM131" s="14" t="n">
        <f aca="false" t="array" ref="AM131:AM131">SUM(IF(AA131:AE131,1,0))</f>
        <v>4</v>
      </c>
      <c r="AN131" s="14" t="n">
        <f aca="false" t="array" ref="AN131:AN131">SUM(IF(AF131:AJ131,1,0))</f>
        <v>4</v>
      </c>
      <c r="AO131" s="1" t="n">
        <f aca="false">FALSE()</f>
        <v>0</v>
      </c>
      <c r="AP131" s="1" t="n">
        <f aca="false">IF(O131 = 2,COUNTIF(Q131:AJ131,"TRUE"),-1)</f>
        <v>16</v>
      </c>
    </row>
    <row r="132" customFormat="false" ht="15.75" hidden="false" customHeight="false" outlineLevel="0" collapsed="false">
      <c r="A132" s="8" t="e">
        <f aca="true">INDIRECT("'Ответы на форму (1)'!A"&amp;$N132,TRUE())</f>
        <v>#REF!</v>
      </c>
      <c r="B132" s="0" t="e">
        <f aca="true">INDIRECT("'Ответы на форму (1)'!B"&amp;$N132,TRUE())</f>
        <v>#REF!</v>
      </c>
      <c r="C132" s="0" t="e">
        <f aca="true">INDIRECT("'Ответы на форму (1)'!C"&amp;$N132,TRUE())</f>
        <v>#REF!</v>
      </c>
      <c r="D132" s="0" t="e">
        <f aca="true">INDIRECT("'Ответы на форму (1)'!D"&amp;$N132,TRUE())</f>
        <v>#REF!</v>
      </c>
      <c r="E132" s="0" t="n">
        <f aca="false">IFERROR(__xludf.dummyfunction("iferror(VALUE(REGEXEXTRACT(TEXT(INDIRECT(""'Ответы на форму (1)'!E""&amp;$N132,TRUE),""####""),""[0-9]+"")),IF(IFERROR(SEARCH(""моцро"",INDIRECT(""'Ответы на форму (1)'!E""&amp;$N132,TRUE)),-1) &gt;= 0,117,INDIRECT(""'Ответы на форму (1)'!E""&amp;$N132,TRUE)))"),117)</f>
        <v>117</v>
      </c>
      <c r="F132" s="0" t="e">
        <f aca="true">INDIRECT("'Ответы на форму (1)'!F"&amp;$N132,TRUE())</f>
        <v>#REF!</v>
      </c>
      <c r="G132" s="9" t="e">
        <f aca="true">IFERROR(MID(INDIRECT("'Ответы на форму (1)'!G"&amp;$N132,TRUE()),SEARCH("vk.com",INDIRECT("'Ответы на форму (1)'!G"&amp;$N132,TRUE())),LEN(INDIRECT("'Ответы на форму (1)'!G"&amp;$N132,TRUE()))),INDIRECT("'Ответы на форму (1)'!G"&amp;$N132,TRUE()))</f>
        <v>#REF!</v>
      </c>
      <c r="H132" s="0" t="e">
        <f aca="true">INDIRECT("'Ответы на форму (1)'!H"&amp;$N132,TRUE())</f>
        <v>#REF!</v>
      </c>
      <c r="I132" s="12" t="e">
        <f aca="true">INDIRECT("'Ответы на форму (1)'!I"&amp;$N132,TRUE())</f>
        <v>#REF!</v>
      </c>
      <c r="J132" s="12" t="e">
        <f aca="true">INDIRECT("'Ответы на форму (1)'!J"&amp;$N132,TRUE())</f>
        <v>#REF!</v>
      </c>
      <c r="K132" s="12" t="e">
        <f aca="true">INDIRECT("'Ответы на форму (1)'!K"&amp;$N132,TRUE())</f>
        <v>#REF!</v>
      </c>
      <c r="L132" s="12" t="e">
        <f aca="true">INDIRECT("'Ответы на форму (1)'!L"&amp;$N132,TRUE())</f>
        <v>#REF!</v>
      </c>
      <c r="M132" s="0" t="e">
        <f aca="false" t="array" ref="M132:M132">IF(B132 &lt;&gt; "",IF(COUNTIF(concat(TRIM('Список прошлого года'!$B$2:$B$200),TRIM('Список прошлого года'!$C$2:$C$200)),concat(TRIM(B132),TRIM(C132))) &gt; 0,"Да","Нет"),"")</f>
        <v>#REF!</v>
      </c>
      <c r="N132" s="1" t="n">
        <v>150</v>
      </c>
      <c r="O132" s="1" t="n">
        <v>2</v>
      </c>
      <c r="Q132" s="1" t="n">
        <f aca="false">FALSE()</f>
        <v>0</v>
      </c>
      <c r="R132" s="1" t="n">
        <f aca="false">FALSE()</f>
        <v>0</v>
      </c>
      <c r="S132" s="1" t="n">
        <f aca="false">FALSE()</f>
        <v>0</v>
      </c>
      <c r="T132" s="1" t="n">
        <f aca="false">FALSE()</f>
        <v>0</v>
      </c>
      <c r="U132" s="1" t="n">
        <f aca="false">FALSE()</f>
        <v>0</v>
      </c>
      <c r="V132" s="1" t="n">
        <f aca="false">FALSE()</f>
        <v>0</v>
      </c>
      <c r="W132" s="1" t="n">
        <f aca="false">FALSE()</f>
        <v>0</v>
      </c>
      <c r="X132" s="1" t="n">
        <f aca="false">FALSE()</f>
        <v>0</v>
      </c>
      <c r="Y132" s="1" t="n">
        <f aca="false">FALSE()</f>
        <v>0</v>
      </c>
      <c r="Z132" s="1" t="n">
        <f aca="false">FALSE()</f>
        <v>0</v>
      </c>
      <c r="AA132" s="1" t="n">
        <f aca="false">FALSE()</f>
        <v>0</v>
      </c>
      <c r="AB132" s="1" t="n">
        <f aca="false">FALSE()</f>
        <v>0</v>
      </c>
      <c r="AC132" s="1" t="n">
        <f aca="false">FALSE()</f>
        <v>0</v>
      </c>
      <c r="AD132" s="1" t="n">
        <f aca="false">FALSE()</f>
        <v>0</v>
      </c>
      <c r="AE132" s="1" t="n">
        <f aca="false">FALSE()</f>
        <v>0</v>
      </c>
      <c r="AF132" s="1" t="n">
        <f aca="false">FALSE()</f>
        <v>0</v>
      </c>
      <c r="AG132" s="1" t="n">
        <f aca="false">FALSE()</f>
        <v>0</v>
      </c>
      <c r="AH132" s="1" t="n">
        <f aca="false">FALSE()</f>
        <v>0</v>
      </c>
      <c r="AI132" s="1" t="n">
        <f aca="false">FALSE()</f>
        <v>0</v>
      </c>
      <c r="AJ132" s="1" t="n">
        <f aca="false">FALSE()</f>
        <v>0</v>
      </c>
      <c r="AK132" s="1" t="n">
        <f aca="false" t="array" ref="AK132:AK132">SUM(IF(Q132:U132,1,0))</f>
        <v>0</v>
      </c>
      <c r="AL132" s="14" t="n">
        <f aca="false" t="array" ref="AL132:AL132">SUM(IF(V132:Z132,1,0))</f>
        <v>0</v>
      </c>
      <c r="AM132" s="14" t="n">
        <f aca="false" t="array" ref="AM132:AM132">SUM(IF(AA132:AE132,1,0))</f>
        <v>0</v>
      </c>
      <c r="AN132" s="14" t="n">
        <f aca="false" t="array" ref="AN132:AN132">SUM(IF(AF132:AJ132,1,0))</f>
        <v>0</v>
      </c>
      <c r="AO132" s="1" t="n">
        <f aca="false">FALSE()</f>
        <v>0</v>
      </c>
      <c r="AP132" s="1" t="n">
        <f aca="false">IF(O132 = 2,COUNTIF(Q132:AJ132,"TRUE"),-1)</f>
        <v>0</v>
      </c>
    </row>
    <row r="133" customFormat="false" ht="15.75" hidden="false" customHeight="false" outlineLevel="0" collapsed="false">
      <c r="A133" s="8" t="e">
        <f aca="true">INDIRECT("'Ответы на форму (1)'!A"&amp;$N133,TRUE())</f>
        <v>#REF!</v>
      </c>
      <c r="B133" s="0" t="e">
        <f aca="true">INDIRECT("'Ответы на форму (1)'!B"&amp;$N133,TRUE())</f>
        <v>#REF!</v>
      </c>
      <c r="C133" s="0" t="e">
        <f aca="true">INDIRECT("'Ответы на форму (1)'!C"&amp;$N133,TRUE())</f>
        <v>#REF!</v>
      </c>
      <c r="D133" s="0" t="e">
        <f aca="true">INDIRECT("'Ответы на форму (1)'!D"&amp;$N133,TRUE())</f>
        <v>#REF!</v>
      </c>
      <c r="E133" s="0" t="n">
        <f aca="false">IFERROR(__xludf.dummyfunction("iferror(VALUE(REGEXEXTRACT(TEXT(INDIRECT(""'Ответы на форму (1)'!E""&amp;$N133,TRUE),""####""),""[0-9]+"")),IF(IFERROR(SEARCH(""моцро"",INDIRECT(""'Ответы на форму (1)'!E""&amp;$N133,TRUE)),-1) &gt;= 0,117,INDIRECT(""'Ответы на форму (1)'!E""&amp;$N133,TRUE)))"),117)</f>
        <v>117</v>
      </c>
      <c r="F133" s="0" t="e">
        <f aca="true">INDIRECT("'Ответы на форму (1)'!F"&amp;$N133,TRUE())</f>
        <v>#REF!</v>
      </c>
      <c r="G133" s="9" t="e">
        <f aca="true">IFERROR(MID(INDIRECT("'Ответы на форму (1)'!G"&amp;$N133,TRUE()),SEARCH("vk.com",INDIRECT("'Ответы на форму (1)'!G"&amp;$N133,TRUE())),LEN(INDIRECT("'Ответы на форму (1)'!G"&amp;$N133,TRUE()))),INDIRECT("'Ответы на форму (1)'!G"&amp;$N133,TRUE()))</f>
        <v>#REF!</v>
      </c>
      <c r="H133" s="0" t="e">
        <f aca="true">INDIRECT("'Ответы на форму (1)'!H"&amp;$N133,TRUE())</f>
        <v>#REF!</v>
      </c>
      <c r="I133" s="12" t="e">
        <f aca="true">INDIRECT("'Ответы на форму (1)'!I"&amp;$N133,TRUE())</f>
        <v>#REF!</v>
      </c>
      <c r="J133" s="12" t="e">
        <f aca="true">INDIRECT("'Ответы на форму (1)'!J"&amp;$N133,TRUE())</f>
        <v>#REF!</v>
      </c>
      <c r="K133" s="12" t="e">
        <f aca="true">INDIRECT("'Ответы на форму (1)'!K"&amp;$N133,TRUE())</f>
        <v>#REF!</v>
      </c>
      <c r="L133" s="12" t="e">
        <f aca="true">INDIRECT("'Ответы на форму (1)'!L"&amp;$N133,TRUE())</f>
        <v>#REF!</v>
      </c>
      <c r="M133" s="0" t="e">
        <f aca="false" t="array" ref="M133:M133">IF(B133 &lt;&gt; "",IF(COUNTIF(concat(TRIM('Список прошлого года'!$B$2:$B$200),TRIM('Список прошлого года'!$C$2:$C$200)),concat(TRIM(B133),TRIM(C133))) &gt; 0,"Да","Нет"),"")</f>
        <v>#REF!</v>
      </c>
      <c r="N133" s="1" t="n">
        <v>151</v>
      </c>
      <c r="O133" s="1" t="n">
        <v>2</v>
      </c>
      <c r="Q133" s="1" t="n">
        <f aca="false">TRUE()</f>
        <v>1</v>
      </c>
      <c r="R133" s="1" t="n">
        <f aca="false">TRUE()</f>
        <v>1</v>
      </c>
      <c r="S133" s="1" t="n">
        <f aca="false">TRUE()</f>
        <v>1</v>
      </c>
      <c r="T133" s="1" t="n">
        <f aca="false">TRUE()</f>
        <v>1</v>
      </c>
      <c r="U133" s="1" t="n">
        <f aca="false">FALSE()</f>
        <v>0</v>
      </c>
      <c r="V133" s="1" t="n">
        <f aca="false">TRUE()</f>
        <v>1</v>
      </c>
      <c r="W133" s="1" t="n">
        <f aca="false">TRUE()</f>
        <v>1</v>
      </c>
      <c r="X133" s="1" t="n">
        <f aca="false">TRUE()</f>
        <v>1</v>
      </c>
      <c r="Y133" s="1" t="n">
        <f aca="false">TRUE()</f>
        <v>1</v>
      </c>
      <c r="Z133" s="1" t="n">
        <f aca="false">TRUE()</f>
        <v>1</v>
      </c>
      <c r="AA133" s="1" t="n">
        <f aca="false">TRUE()</f>
        <v>1</v>
      </c>
      <c r="AB133" s="1" t="n">
        <f aca="false">TRUE()</f>
        <v>1</v>
      </c>
      <c r="AC133" s="1" t="n">
        <f aca="false">TRUE()</f>
        <v>1</v>
      </c>
      <c r="AD133" s="1" t="n">
        <f aca="false">TRUE()</f>
        <v>1</v>
      </c>
      <c r="AE133" s="1" t="n">
        <f aca="false">TRUE()</f>
        <v>1</v>
      </c>
      <c r="AF133" s="1" t="n">
        <f aca="false">TRUE()</f>
        <v>1</v>
      </c>
      <c r="AG133" s="1" t="n">
        <f aca="false">TRUE()</f>
        <v>1</v>
      </c>
      <c r="AH133" s="1" t="n">
        <f aca="false">TRUE()</f>
        <v>1</v>
      </c>
      <c r="AI133" s="1" t="n">
        <f aca="false">FALSE()</f>
        <v>0</v>
      </c>
      <c r="AJ133" s="1" t="n">
        <f aca="false">TRUE()</f>
        <v>1</v>
      </c>
      <c r="AK133" s="1" t="n">
        <f aca="false" t="array" ref="AK133:AK133">SUM(IF(Q133:U133,1,0))</f>
        <v>4</v>
      </c>
      <c r="AL133" s="14" t="n">
        <f aca="false" t="array" ref="AL133:AL133">SUM(IF(V133:Z133,1,0))</f>
        <v>5</v>
      </c>
      <c r="AM133" s="14" t="n">
        <f aca="false" t="array" ref="AM133:AM133">SUM(IF(AA133:AE133,1,0))</f>
        <v>5</v>
      </c>
      <c r="AN133" s="14" t="n">
        <f aca="false" t="array" ref="AN133:AN133">SUM(IF(AF133:AJ133,1,0))</f>
        <v>4</v>
      </c>
      <c r="AO133" s="1" t="n">
        <f aca="false">FALSE()</f>
        <v>0</v>
      </c>
      <c r="AP133" s="1" t="n">
        <f aca="false">IF(O133 = 2,COUNTIF(Q133:AJ133,"TRUE"),-1)</f>
        <v>18</v>
      </c>
    </row>
    <row r="134" customFormat="false" ht="15.75" hidden="false" customHeight="false" outlineLevel="0" collapsed="false">
      <c r="A134" s="8" t="e">
        <f aca="true">INDIRECT("'Ответы на форму (1)'!A"&amp;$N134,TRUE())</f>
        <v>#REF!</v>
      </c>
      <c r="B134" s="0" t="e">
        <f aca="true">INDIRECT("'Ответы на форму (1)'!B"&amp;$N134,TRUE())</f>
        <v>#REF!</v>
      </c>
      <c r="C134" s="0" t="e">
        <f aca="true">INDIRECT("'Ответы на форму (1)'!C"&amp;$N134,TRUE())</f>
        <v>#REF!</v>
      </c>
      <c r="D134" s="0" t="e">
        <f aca="true">INDIRECT("'Ответы на форму (1)'!D"&amp;$N134,TRUE())</f>
        <v>#REF!</v>
      </c>
      <c r="E134" s="0" t="n">
        <f aca="false">IFERROR(__xludf.dummyfunction("iferror(VALUE(REGEXEXTRACT(TEXT(INDIRECT(""'Ответы на форму (1)'!E""&amp;$N134,TRUE),""####""),""[0-9]+"")),IF(IFERROR(SEARCH(""моцро"",INDIRECT(""'Ответы на форму (1)'!E""&amp;$N134,TRUE)),-1) &gt;= 0,117,INDIRECT(""'Ответы на форму (1)'!E""&amp;$N134,TRUE)))"),117)</f>
        <v>117</v>
      </c>
      <c r="F134" s="0" t="e">
        <f aca="true">INDIRECT("'Ответы на форму (1)'!F"&amp;$N134,TRUE())</f>
        <v>#REF!</v>
      </c>
      <c r="G134" s="9" t="e">
        <f aca="true">IFERROR(MID(INDIRECT("'Ответы на форму (1)'!G"&amp;$N134,TRUE()),SEARCH("vk.com",INDIRECT("'Ответы на форму (1)'!G"&amp;$N134,TRUE())),LEN(INDIRECT("'Ответы на форму (1)'!G"&amp;$N134,TRUE()))),INDIRECT("'Ответы на форму (1)'!G"&amp;$N134,TRUE()))</f>
        <v>#REF!</v>
      </c>
      <c r="H134" s="0" t="e">
        <f aca="true">INDIRECT("'Ответы на форму (1)'!H"&amp;$N134,TRUE())</f>
        <v>#REF!</v>
      </c>
      <c r="I134" s="12" t="e">
        <f aca="true">INDIRECT("'Ответы на форму (1)'!I"&amp;$N134,TRUE())</f>
        <v>#REF!</v>
      </c>
      <c r="J134" s="12" t="e">
        <f aca="true">INDIRECT("'Ответы на форму (1)'!J"&amp;$N134,TRUE())</f>
        <v>#REF!</v>
      </c>
      <c r="K134" s="12" t="e">
        <f aca="true">INDIRECT("'Ответы на форму (1)'!K"&amp;$N134,TRUE())</f>
        <v>#REF!</v>
      </c>
      <c r="L134" s="12" t="e">
        <f aca="true">INDIRECT("'Ответы на форму (1)'!L"&amp;$N134,TRUE())</f>
        <v>#REF!</v>
      </c>
      <c r="M134" s="0" t="e">
        <f aca="false" t="array" ref="M134:M134">IF(B134 &lt;&gt; "",IF(COUNTIF(concat(TRIM('Список прошлого года'!$B$2:$B$200),TRIM('Список прошлого года'!$C$2:$C$200)),concat(TRIM(B134),TRIM(C134))) &gt; 0,"Да","Нет"),"")</f>
        <v>#REF!</v>
      </c>
      <c r="N134" s="1" t="n">
        <v>152</v>
      </c>
      <c r="O134" s="1" t="n">
        <v>2</v>
      </c>
      <c r="Q134" s="1" t="n">
        <f aca="false">TRUE()</f>
        <v>1</v>
      </c>
      <c r="R134" s="1" t="n">
        <f aca="false">TRUE()</f>
        <v>1</v>
      </c>
      <c r="S134" s="1" t="n">
        <f aca="false">TRUE()</f>
        <v>1</v>
      </c>
      <c r="T134" s="1" t="n">
        <f aca="false">FALSE()</f>
        <v>0</v>
      </c>
      <c r="U134" s="1" t="n">
        <f aca="false">FALSE()</f>
        <v>0</v>
      </c>
      <c r="V134" s="1" t="n">
        <f aca="false">TRUE()</f>
        <v>1</v>
      </c>
      <c r="W134" s="1" t="n">
        <f aca="false">TRUE()</f>
        <v>1</v>
      </c>
      <c r="X134" s="1" t="n">
        <f aca="false">FALSE()</f>
        <v>0</v>
      </c>
      <c r="Y134" s="1" t="n">
        <f aca="false">FALSE()</f>
        <v>0</v>
      </c>
      <c r="Z134" s="1" t="n">
        <f aca="false">FALSE()</f>
        <v>0</v>
      </c>
      <c r="AA134" s="1" t="n">
        <f aca="false">FALSE()</f>
        <v>0</v>
      </c>
      <c r="AB134" s="1" t="n">
        <f aca="false">FALSE()</f>
        <v>0</v>
      </c>
      <c r="AC134" s="1" t="n">
        <f aca="false">FALSE()</f>
        <v>0</v>
      </c>
      <c r="AD134" s="1" t="n">
        <f aca="false">FALSE()</f>
        <v>0</v>
      </c>
      <c r="AE134" s="1" t="n">
        <f aca="false">FALSE()</f>
        <v>0</v>
      </c>
      <c r="AF134" s="1" t="n">
        <f aca="false">FALSE()</f>
        <v>0</v>
      </c>
      <c r="AG134" s="1" t="n">
        <f aca="false">FALSE()</f>
        <v>0</v>
      </c>
      <c r="AH134" s="1" t="n">
        <f aca="false">FALSE()</f>
        <v>0</v>
      </c>
      <c r="AI134" s="1" t="n">
        <f aca="false">FALSE()</f>
        <v>0</v>
      </c>
      <c r="AJ134" s="1" t="n">
        <f aca="false">FALSE()</f>
        <v>0</v>
      </c>
      <c r="AK134" s="1" t="n">
        <f aca="false" t="array" ref="AK134:AK134">SUM(IF(Q134:U134,1,0))</f>
        <v>3</v>
      </c>
      <c r="AL134" s="14" t="n">
        <f aca="false" t="array" ref="AL134:AL134">SUM(IF(V134:Z134,1,0))</f>
        <v>2</v>
      </c>
      <c r="AM134" s="14" t="n">
        <f aca="false" t="array" ref="AM134:AM134">SUM(IF(AA134:AE134,1,0))</f>
        <v>0</v>
      </c>
      <c r="AN134" s="14" t="n">
        <f aca="false" t="array" ref="AN134:AN134">SUM(IF(AF134:AJ134,1,0))</f>
        <v>0</v>
      </c>
      <c r="AO134" s="1" t="n">
        <f aca="false">FALSE()</f>
        <v>0</v>
      </c>
      <c r="AP134" s="1" t="n">
        <f aca="false">IF(O134 = 2,COUNTIF(Q134:AJ134,"TRUE"),-1)</f>
        <v>5</v>
      </c>
    </row>
    <row r="135" customFormat="false" ht="15.75" hidden="false" customHeight="false" outlineLevel="0" collapsed="false">
      <c r="A135" s="8" t="e">
        <f aca="true">INDIRECT("'Ответы на форму (1)'!A"&amp;$N135,TRUE())</f>
        <v>#REF!</v>
      </c>
      <c r="B135" s="0" t="e">
        <f aca="true">INDIRECT("'Ответы на форму (1)'!B"&amp;$N135,TRUE())</f>
        <v>#REF!</v>
      </c>
      <c r="C135" s="0" t="e">
        <f aca="true">INDIRECT("'Ответы на форму (1)'!C"&amp;$N135,TRUE())</f>
        <v>#REF!</v>
      </c>
      <c r="D135" s="0" t="e">
        <f aca="true">INDIRECT("'Ответы на форму (1)'!D"&amp;$N135,TRUE())</f>
        <v>#REF!</v>
      </c>
      <c r="E135" s="0" t="n">
        <f aca="false">IFERROR(__xludf.dummyfunction("iferror(VALUE(REGEXEXTRACT(TEXT(INDIRECT(""'Ответы на форму (1)'!E""&amp;$N135,TRUE),""####""),""[0-9]+"")),IF(IFERROR(SEARCH(""моцро"",INDIRECT(""'Ответы на форму (1)'!E""&amp;$N135,TRUE)),-1) &gt;= 0,117,INDIRECT(""'Ответы на форму (1)'!E""&amp;$N135,TRUE)))"),117)</f>
        <v>117</v>
      </c>
      <c r="F135" s="0" t="e">
        <f aca="true">INDIRECT("'Ответы на форму (1)'!F"&amp;$N135,TRUE())</f>
        <v>#REF!</v>
      </c>
      <c r="G135" s="9" t="e">
        <f aca="true">IFERROR(MID(INDIRECT("'Ответы на форму (1)'!G"&amp;$N135,TRUE()),SEARCH("vk.com",INDIRECT("'Ответы на форму (1)'!G"&amp;$N135,TRUE())),LEN(INDIRECT("'Ответы на форму (1)'!G"&amp;$N135,TRUE()))),INDIRECT("'Ответы на форму (1)'!G"&amp;$N135,TRUE()))</f>
        <v>#REF!</v>
      </c>
      <c r="H135" s="0" t="e">
        <f aca="true">INDIRECT("'Ответы на форму (1)'!H"&amp;$N135,TRUE())</f>
        <v>#REF!</v>
      </c>
      <c r="I135" s="12" t="e">
        <f aca="true">INDIRECT("'Ответы на форму (1)'!I"&amp;$N135,TRUE())</f>
        <v>#REF!</v>
      </c>
      <c r="J135" s="12" t="e">
        <f aca="true">INDIRECT("'Ответы на форму (1)'!J"&amp;$N135,TRUE())</f>
        <v>#REF!</v>
      </c>
      <c r="K135" s="12" t="e">
        <f aca="true">INDIRECT("'Ответы на форму (1)'!K"&amp;$N135,TRUE())</f>
        <v>#REF!</v>
      </c>
      <c r="L135" s="12" t="e">
        <f aca="true">INDIRECT("'Ответы на форму (1)'!L"&amp;$N135,TRUE())</f>
        <v>#REF!</v>
      </c>
      <c r="M135" s="0" t="e">
        <f aca="false" t="array" ref="M135:M135">IF(B135 &lt;&gt; "",IF(COUNTIF(concat(TRIM('Список прошлого года'!$B$2:$B$200),TRIM('Список прошлого года'!$C$2:$C$200)),concat(TRIM(B135),TRIM(C135))) &gt; 0,"Да","Нет"),"")</f>
        <v>#REF!</v>
      </c>
      <c r="N135" s="1" t="n">
        <v>153</v>
      </c>
      <c r="O135" s="1" t="n">
        <v>-1</v>
      </c>
      <c r="Q135" s="1" t="n">
        <f aca="false">FALSE()</f>
        <v>0</v>
      </c>
      <c r="R135" s="1" t="n">
        <f aca="false">FALSE()</f>
        <v>0</v>
      </c>
      <c r="S135" s="1" t="n">
        <f aca="false">FALSE()</f>
        <v>0</v>
      </c>
      <c r="T135" s="1" t="n">
        <f aca="false">FALSE()</f>
        <v>0</v>
      </c>
      <c r="U135" s="1" t="n">
        <f aca="false">FALSE()</f>
        <v>0</v>
      </c>
      <c r="V135" s="1" t="n">
        <f aca="false">FALSE()</f>
        <v>0</v>
      </c>
      <c r="W135" s="1" t="n">
        <f aca="false">FALSE()</f>
        <v>0</v>
      </c>
      <c r="X135" s="1" t="n">
        <f aca="false">FALSE()</f>
        <v>0</v>
      </c>
      <c r="Y135" s="1" t="n">
        <f aca="false">FALSE()</f>
        <v>0</v>
      </c>
      <c r="Z135" s="1" t="n">
        <f aca="false">FALSE()</f>
        <v>0</v>
      </c>
      <c r="AA135" s="1" t="n">
        <f aca="false">FALSE()</f>
        <v>0</v>
      </c>
      <c r="AB135" s="1" t="n">
        <f aca="false">FALSE()</f>
        <v>0</v>
      </c>
      <c r="AC135" s="1" t="n">
        <f aca="false">FALSE()</f>
        <v>0</v>
      </c>
      <c r="AD135" s="1" t="n">
        <f aca="false">FALSE()</f>
        <v>0</v>
      </c>
      <c r="AE135" s="1" t="n">
        <f aca="false">FALSE()</f>
        <v>0</v>
      </c>
      <c r="AF135" s="1" t="n">
        <f aca="false">FALSE()</f>
        <v>0</v>
      </c>
      <c r="AG135" s="1" t="n">
        <f aca="false">FALSE()</f>
        <v>0</v>
      </c>
      <c r="AH135" s="1" t="n">
        <f aca="false">FALSE()</f>
        <v>0</v>
      </c>
      <c r="AI135" s="1" t="n">
        <f aca="false">FALSE()</f>
        <v>0</v>
      </c>
      <c r="AJ135" s="1" t="n">
        <f aca="false">FALSE()</f>
        <v>0</v>
      </c>
      <c r="AK135" s="1" t="n">
        <f aca="false" t="array" ref="AK135:AK135">SUM(IF(Q135:U135,1,0))</f>
        <v>0</v>
      </c>
      <c r="AL135" s="14" t="n">
        <f aca="false" t="array" ref="AL135:AL135">SUM(IF(V135:Z135,1,0))</f>
        <v>0</v>
      </c>
      <c r="AM135" s="14" t="n">
        <f aca="false" t="array" ref="AM135:AM135">SUM(IF(AA135:AE135,1,0))</f>
        <v>0</v>
      </c>
      <c r="AN135" s="14" t="n">
        <f aca="false" t="array" ref="AN135:AN135">SUM(IF(AF135:AJ135,1,0))</f>
        <v>0</v>
      </c>
      <c r="AO135" s="1" t="n">
        <f aca="false">FALSE()</f>
        <v>0</v>
      </c>
      <c r="AP135" s="1" t="n">
        <f aca="false">IF(O135 = 2,COUNTIF(Q135:AJ135,"TRUE"),-1)</f>
        <v>-1</v>
      </c>
    </row>
    <row r="136" customFormat="false" ht="15.75" hidden="false" customHeight="false" outlineLevel="0" collapsed="false">
      <c r="A136" s="8" t="e">
        <f aca="true">INDIRECT("'Ответы на форму (1)'!A"&amp;$N136,TRUE())</f>
        <v>#REF!</v>
      </c>
      <c r="B136" s="0" t="e">
        <f aca="true">INDIRECT("'Ответы на форму (1)'!B"&amp;$N136,TRUE())</f>
        <v>#REF!</v>
      </c>
      <c r="C136" s="0" t="e">
        <f aca="true">INDIRECT("'Ответы на форму (1)'!C"&amp;$N136,TRUE())</f>
        <v>#REF!</v>
      </c>
      <c r="D136" s="0" t="e">
        <f aca="true">INDIRECT("'Ответы на форму (1)'!D"&amp;$N136,TRUE())</f>
        <v>#REF!</v>
      </c>
      <c r="E136" s="0" t="n">
        <f aca="false">IFERROR(__xludf.dummyfunction("iferror(VALUE(REGEXEXTRACT(TEXT(INDIRECT(""'Ответы на форму (1)'!E""&amp;$N136,TRUE),""####""),""[0-9]+"")),IF(IFERROR(SEARCH(""моцро"",INDIRECT(""'Ответы на форму (1)'!E""&amp;$N136,TRUE)),-1) &gt;= 0,117,INDIRECT(""'Ответы на форму (1)'!E""&amp;$N136,TRUE)))"),117)</f>
        <v>117</v>
      </c>
      <c r="F136" s="0" t="e">
        <f aca="true">INDIRECT("'Ответы на форму (1)'!F"&amp;$N136,TRUE())</f>
        <v>#REF!</v>
      </c>
      <c r="G136" s="9" t="e">
        <f aca="true">IFERROR(MID(INDIRECT("'Ответы на форму (1)'!G"&amp;$N136,TRUE()),SEARCH("vk.com",INDIRECT("'Ответы на форму (1)'!G"&amp;$N136,TRUE())),LEN(INDIRECT("'Ответы на форму (1)'!G"&amp;$N136,TRUE()))),INDIRECT("'Ответы на форму (1)'!G"&amp;$N136,TRUE()))</f>
        <v>#REF!</v>
      </c>
      <c r="H136" s="0" t="e">
        <f aca="true">INDIRECT("'Ответы на форму (1)'!H"&amp;$N136,TRUE())</f>
        <v>#REF!</v>
      </c>
      <c r="I136" s="12" t="e">
        <f aca="true">INDIRECT("'Ответы на форму (1)'!I"&amp;$N136,TRUE())</f>
        <v>#REF!</v>
      </c>
      <c r="J136" s="12" t="e">
        <f aca="true">INDIRECT("'Ответы на форму (1)'!J"&amp;$N136,TRUE())</f>
        <v>#REF!</v>
      </c>
      <c r="K136" s="12" t="e">
        <f aca="true">INDIRECT("'Ответы на форму (1)'!K"&amp;$N136,TRUE())</f>
        <v>#REF!</v>
      </c>
      <c r="L136" s="12" t="e">
        <f aca="true">INDIRECT("'Ответы на форму (1)'!L"&amp;$N136,TRUE())</f>
        <v>#REF!</v>
      </c>
      <c r="M136" s="0" t="e">
        <f aca="false" t="array" ref="M136:M136">IF(B136 &lt;&gt; "",IF(COUNTIF(concat(TRIM('Список прошлого года'!$B$2:$B$200),TRIM('Список прошлого года'!$C$2:$C$200)),concat(TRIM(B136),TRIM(C136))) &gt; 0,"Да","Нет"),"")</f>
        <v>#REF!</v>
      </c>
      <c r="N136" s="1" t="n">
        <v>154</v>
      </c>
      <c r="O136" s="1" t="n">
        <v>2</v>
      </c>
      <c r="Q136" s="1" t="n">
        <f aca="false">TRUE()</f>
        <v>1</v>
      </c>
      <c r="R136" s="1" t="n">
        <f aca="false">FALSE()</f>
        <v>0</v>
      </c>
      <c r="S136" s="1" t="n">
        <f aca="false">FALSE()</f>
        <v>0</v>
      </c>
      <c r="T136" s="1" t="n">
        <f aca="false">FALSE()</f>
        <v>0</v>
      </c>
      <c r="U136" s="1" t="n">
        <f aca="false">FALSE()</f>
        <v>0</v>
      </c>
      <c r="V136" s="1" t="n">
        <f aca="false">FALSE()</f>
        <v>0</v>
      </c>
      <c r="W136" s="1" t="n">
        <f aca="false">FALSE()</f>
        <v>0</v>
      </c>
      <c r="X136" s="1" t="n">
        <f aca="false">FALSE()</f>
        <v>0</v>
      </c>
      <c r="Y136" s="1" t="n">
        <f aca="false">FALSE()</f>
        <v>0</v>
      </c>
      <c r="Z136" s="1" t="n">
        <f aca="false">FALSE()</f>
        <v>0</v>
      </c>
      <c r="AA136" s="1" t="n">
        <f aca="false">FALSE()</f>
        <v>0</v>
      </c>
      <c r="AB136" s="1" t="n">
        <f aca="false">FALSE()</f>
        <v>0</v>
      </c>
      <c r="AC136" s="1" t="n">
        <f aca="false">FALSE()</f>
        <v>0</v>
      </c>
      <c r="AD136" s="1" t="n">
        <f aca="false">FALSE()</f>
        <v>0</v>
      </c>
      <c r="AE136" s="1" t="n">
        <f aca="false">FALSE()</f>
        <v>0</v>
      </c>
      <c r="AF136" s="1" t="n">
        <f aca="false">FALSE()</f>
        <v>0</v>
      </c>
      <c r="AG136" s="1" t="n">
        <f aca="false">FALSE()</f>
        <v>0</v>
      </c>
      <c r="AH136" s="1" t="n">
        <f aca="false">FALSE()</f>
        <v>0</v>
      </c>
      <c r="AI136" s="1" t="n">
        <f aca="false">FALSE()</f>
        <v>0</v>
      </c>
      <c r="AJ136" s="1" t="n">
        <f aca="false">FALSE()</f>
        <v>0</v>
      </c>
      <c r="AK136" s="1" t="n">
        <f aca="false" t="array" ref="AK136:AK136">SUM(IF(Q136:U136,1,0))</f>
        <v>1</v>
      </c>
      <c r="AL136" s="14" t="n">
        <f aca="false" t="array" ref="AL136:AL136">SUM(IF(V136:Z136,1,0))</f>
        <v>0</v>
      </c>
      <c r="AM136" s="14" t="n">
        <f aca="false" t="array" ref="AM136:AM136">SUM(IF(AA136:AE136,1,0))</f>
        <v>0</v>
      </c>
      <c r="AN136" s="14" t="n">
        <f aca="false" t="array" ref="AN136:AN136">SUM(IF(AF136:AJ136,1,0))</f>
        <v>0</v>
      </c>
      <c r="AO136" s="1" t="n">
        <f aca="false">FALSE()</f>
        <v>0</v>
      </c>
      <c r="AP136" s="1" t="n">
        <f aca="false">IF(O136 = 2,COUNTIF(Q136:AJ136,"TRUE"),-1)</f>
        <v>1</v>
      </c>
    </row>
    <row r="137" customFormat="false" ht="15.75" hidden="false" customHeight="false" outlineLevel="0" collapsed="false">
      <c r="A137" s="8" t="e">
        <f aca="true">INDIRECT("'Ответы на форму (1)'!A"&amp;$N137,TRUE())</f>
        <v>#REF!</v>
      </c>
      <c r="B137" s="0" t="e">
        <f aca="true">INDIRECT("'Ответы на форму (1)'!B"&amp;$N137,TRUE())</f>
        <v>#REF!</v>
      </c>
      <c r="C137" s="0" t="e">
        <f aca="true">INDIRECT("'Ответы на форму (1)'!C"&amp;$N137,TRUE())</f>
        <v>#REF!</v>
      </c>
      <c r="D137" s="0" t="e">
        <f aca="true">INDIRECT("'Ответы на форму (1)'!D"&amp;$N137,TRUE())</f>
        <v>#REF!</v>
      </c>
      <c r="E137" s="0" t="n">
        <f aca="false">IFERROR(__xludf.dummyfunction("iferror(VALUE(REGEXEXTRACT(TEXT(INDIRECT(""'Ответы на форму (1)'!E""&amp;$N137,TRUE),""####""),""[0-9]+"")),IF(IFERROR(SEARCH(""моцро"",INDIRECT(""'Ответы на форму (1)'!E""&amp;$N137,TRUE)),-1) &gt;= 0,117,INDIRECT(""'Ответы на форму (1)'!E""&amp;$N137,TRUE)))"),117)</f>
        <v>117</v>
      </c>
      <c r="F137" s="0" t="e">
        <f aca="true">INDIRECT("'Ответы на форму (1)'!F"&amp;$N137,TRUE())</f>
        <v>#REF!</v>
      </c>
      <c r="G137" s="9" t="e">
        <f aca="true">IFERROR(MID(INDIRECT("'Ответы на форму (1)'!G"&amp;$N137,TRUE()),SEARCH("vk.com",INDIRECT("'Ответы на форму (1)'!G"&amp;$N137,TRUE())),LEN(INDIRECT("'Ответы на форму (1)'!G"&amp;$N137,TRUE()))),INDIRECT("'Ответы на форму (1)'!G"&amp;$N137,TRUE()))</f>
        <v>#REF!</v>
      </c>
      <c r="H137" s="0" t="e">
        <f aca="true">INDIRECT("'Ответы на форму (1)'!H"&amp;$N137,TRUE())</f>
        <v>#REF!</v>
      </c>
      <c r="I137" s="12" t="e">
        <f aca="true">INDIRECT("'Ответы на форму (1)'!I"&amp;$N137,TRUE())</f>
        <v>#REF!</v>
      </c>
      <c r="J137" s="12" t="e">
        <f aca="true">INDIRECT("'Ответы на форму (1)'!J"&amp;$N137,TRUE())</f>
        <v>#REF!</v>
      </c>
      <c r="K137" s="12" t="e">
        <f aca="true">INDIRECT("'Ответы на форму (1)'!K"&amp;$N137,TRUE())</f>
        <v>#REF!</v>
      </c>
      <c r="L137" s="12" t="e">
        <f aca="true">INDIRECT("'Ответы на форму (1)'!L"&amp;$N137,TRUE())</f>
        <v>#REF!</v>
      </c>
      <c r="M137" s="0" t="e">
        <f aca="false" t="array" ref="M137:M137">IF(B137 &lt;&gt; "",IF(COUNTIF(concat(TRIM('Список прошлого года'!$B$2:$B$200),TRIM('Список прошлого года'!$C$2:$C$200)),concat(TRIM(B137),TRIM(C137))) &gt; 0,"Да","Нет"),"")</f>
        <v>#REF!</v>
      </c>
      <c r="N137" s="1" t="n">
        <v>157</v>
      </c>
      <c r="O137" s="1" t="n">
        <v>1</v>
      </c>
      <c r="Q137" s="1" t="n">
        <f aca="false">FALSE()</f>
        <v>0</v>
      </c>
      <c r="R137" s="1" t="n">
        <f aca="false">TRUE()</f>
        <v>1</v>
      </c>
      <c r="S137" s="1" t="n">
        <f aca="false">TRUE()</f>
        <v>1</v>
      </c>
      <c r="T137" s="1" t="n">
        <f aca="false">FALSE()</f>
        <v>0</v>
      </c>
      <c r="U137" s="1" t="n">
        <f aca="false">FALSE()</f>
        <v>0</v>
      </c>
      <c r="V137" s="1" t="n">
        <f aca="false">TRUE()</f>
        <v>1</v>
      </c>
      <c r="W137" s="1" t="n">
        <f aca="false">TRUE()</f>
        <v>1</v>
      </c>
      <c r="X137" s="1" t="n">
        <f aca="false">TRUE()</f>
        <v>1</v>
      </c>
      <c r="Y137" s="1" t="n">
        <f aca="false">TRUE()</f>
        <v>1</v>
      </c>
      <c r="Z137" s="1" t="n">
        <f aca="false">FALSE()</f>
        <v>0</v>
      </c>
      <c r="AA137" s="1" t="n">
        <f aca="false">FALSE()</f>
        <v>0</v>
      </c>
      <c r="AB137" s="1" t="n">
        <f aca="false">FALSE()</f>
        <v>0</v>
      </c>
      <c r="AC137" s="1" t="n">
        <f aca="false">FALSE()</f>
        <v>0</v>
      </c>
      <c r="AD137" s="1" t="n">
        <f aca="false">FALSE()</f>
        <v>0</v>
      </c>
      <c r="AE137" s="1" t="n">
        <f aca="false">FALSE()</f>
        <v>0</v>
      </c>
      <c r="AF137" s="1" t="n">
        <f aca="false">FALSE()</f>
        <v>0</v>
      </c>
      <c r="AG137" s="1" t="n">
        <f aca="false">FALSE()</f>
        <v>0</v>
      </c>
      <c r="AH137" s="1" t="n">
        <f aca="false">FALSE()</f>
        <v>0</v>
      </c>
      <c r="AI137" s="1" t="n">
        <f aca="false">FALSE()</f>
        <v>0</v>
      </c>
      <c r="AJ137" s="1" t="n">
        <f aca="false">FALSE()</f>
        <v>0</v>
      </c>
      <c r="AK137" s="1" t="n">
        <f aca="false" t="array" ref="AK137:AK137">SUM(IF(Q137:U137,1,0))</f>
        <v>2</v>
      </c>
      <c r="AL137" s="14" t="n">
        <f aca="false" t="array" ref="AL137:AL137">SUM(IF(V137:Z137,1,0))</f>
        <v>4</v>
      </c>
      <c r="AM137" s="14" t="n">
        <f aca="false" t="array" ref="AM137:AM137">SUM(IF(AA137:AE137,1,0))</f>
        <v>0</v>
      </c>
      <c r="AN137" s="14" t="n">
        <f aca="false" t="array" ref="AN137:AN137">SUM(IF(AF137:AJ137,1,0))</f>
        <v>0</v>
      </c>
      <c r="AO137" s="1" t="n">
        <f aca="false">FALSE()</f>
        <v>0</v>
      </c>
      <c r="AP137" s="1" t="n">
        <f aca="false">IF(O137 = 2,COUNTIF(Q137:AJ137,"TRUE"),-1)</f>
        <v>-1</v>
      </c>
    </row>
    <row r="138" customFormat="false" ht="15.75" hidden="false" customHeight="false" outlineLevel="0" collapsed="false">
      <c r="A138" s="8" t="e">
        <f aca="true">INDIRECT("'Ответы на форму (1)'!A"&amp;$N138,TRUE())</f>
        <v>#REF!</v>
      </c>
      <c r="B138" s="0" t="e">
        <f aca="true">INDIRECT("'Ответы на форму (1)'!B"&amp;$N138,TRUE())</f>
        <v>#REF!</v>
      </c>
      <c r="C138" s="0" t="e">
        <f aca="true">INDIRECT("'Ответы на форму (1)'!C"&amp;$N138,TRUE())</f>
        <v>#REF!</v>
      </c>
      <c r="D138" s="0" t="e">
        <f aca="true">INDIRECT("'Ответы на форму (1)'!D"&amp;$N138,TRUE())</f>
        <v>#REF!</v>
      </c>
      <c r="E138" s="0" t="n">
        <f aca="false">IFERROR(__xludf.dummyfunction("iferror(VALUE(REGEXEXTRACT(TEXT(INDIRECT(""'Ответы на форму (1)'!E""&amp;$N138,TRUE),""####""),""[0-9]+"")),IF(IFERROR(SEARCH(""моцро"",INDIRECT(""'Ответы на форму (1)'!E""&amp;$N138,TRUE)),-1) &gt;= 0,117,INDIRECT(""'Ответы на форму (1)'!E""&amp;$N138,TRUE)))"),117)</f>
        <v>117</v>
      </c>
      <c r="F138" s="0" t="e">
        <f aca="true">INDIRECT("'Ответы на форму (1)'!F"&amp;$N138,TRUE())</f>
        <v>#REF!</v>
      </c>
      <c r="G138" s="9" t="e">
        <f aca="true">IFERROR(MID(INDIRECT("'Ответы на форму (1)'!G"&amp;$N138,TRUE()),SEARCH("vk.com",INDIRECT("'Ответы на форму (1)'!G"&amp;$N138,TRUE())),LEN(INDIRECT("'Ответы на форму (1)'!G"&amp;$N138,TRUE()))),INDIRECT("'Ответы на форму (1)'!G"&amp;$N138,TRUE()))</f>
        <v>#REF!</v>
      </c>
      <c r="H138" s="0" t="e">
        <f aca="true">INDIRECT("'Ответы на форму (1)'!H"&amp;$N138,TRUE())</f>
        <v>#REF!</v>
      </c>
      <c r="I138" s="12" t="e">
        <f aca="true">INDIRECT("'Ответы на форму (1)'!I"&amp;$N138,TRUE())</f>
        <v>#REF!</v>
      </c>
      <c r="J138" s="12" t="e">
        <f aca="true">INDIRECT("'Ответы на форму (1)'!J"&amp;$N138,TRUE())</f>
        <v>#REF!</v>
      </c>
      <c r="K138" s="12" t="e">
        <f aca="true">INDIRECT("'Ответы на форму (1)'!K"&amp;$N138,TRUE())</f>
        <v>#REF!</v>
      </c>
      <c r="L138" s="12" t="e">
        <f aca="true">INDIRECT("'Ответы на форму (1)'!L"&amp;$N138,TRUE())</f>
        <v>#REF!</v>
      </c>
      <c r="M138" s="0" t="e">
        <f aca="false" t="array" ref="M138:M138">IF(B138 &lt;&gt; "",IF(COUNTIF(concat(TRIM('Список прошлого года'!$B$2:$B$200),TRIM('Список прошлого года'!$C$2:$C$200)),concat(TRIM(B138),TRIM(C138))) &gt; 0,"Да","Нет"),"")</f>
        <v>#REF!</v>
      </c>
      <c r="N138" s="1" t="n">
        <v>158</v>
      </c>
      <c r="O138" s="1" t="n">
        <v>2</v>
      </c>
      <c r="Q138" s="1" t="n">
        <f aca="false">FALSE()</f>
        <v>0</v>
      </c>
      <c r="R138" s="1" t="n">
        <f aca="false">FALSE()</f>
        <v>0</v>
      </c>
      <c r="S138" s="1" t="n">
        <f aca="false">FALSE()</f>
        <v>0</v>
      </c>
      <c r="T138" s="1" t="n">
        <f aca="false">FALSE()</f>
        <v>0</v>
      </c>
      <c r="U138" s="1" t="n">
        <f aca="false">FALSE()</f>
        <v>0</v>
      </c>
      <c r="V138" s="1" t="n">
        <f aca="false">FALSE()</f>
        <v>0</v>
      </c>
      <c r="W138" s="1" t="n">
        <f aca="false">FALSE()</f>
        <v>0</v>
      </c>
      <c r="X138" s="1" t="n">
        <f aca="false">FALSE()</f>
        <v>0</v>
      </c>
      <c r="Y138" s="1" t="n">
        <f aca="false">FALSE()</f>
        <v>0</v>
      </c>
      <c r="Z138" s="1" t="n">
        <f aca="false">FALSE()</f>
        <v>0</v>
      </c>
      <c r="AA138" s="1" t="n">
        <f aca="false">FALSE()</f>
        <v>0</v>
      </c>
      <c r="AB138" s="1" t="n">
        <f aca="false">FALSE()</f>
        <v>0</v>
      </c>
      <c r="AC138" s="1" t="n">
        <f aca="false">FALSE()</f>
        <v>0</v>
      </c>
      <c r="AD138" s="1" t="n">
        <f aca="false">FALSE()</f>
        <v>0</v>
      </c>
      <c r="AE138" s="1" t="n">
        <f aca="false">FALSE()</f>
        <v>0</v>
      </c>
      <c r="AF138" s="1" t="n">
        <f aca="false">FALSE()</f>
        <v>0</v>
      </c>
      <c r="AG138" s="1" t="n">
        <f aca="false">FALSE()</f>
        <v>0</v>
      </c>
      <c r="AH138" s="1" t="n">
        <f aca="false">FALSE()</f>
        <v>0</v>
      </c>
      <c r="AI138" s="1" t="n">
        <f aca="false">FALSE()</f>
        <v>0</v>
      </c>
      <c r="AJ138" s="1" t="n">
        <f aca="false">FALSE()</f>
        <v>0</v>
      </c>
      <c r="AK138" s="1" t="n">
        <f aca="false" t="array" ref="AK138:AK138">SUM(IF(Q138:U138,1,0))</f>
        <v>0</v>
      </c>
      <c r="AL138" s="14" t="n">
        <f aca="false" t="array" ref="AL138:AL138">SUM(IF(V138:Z138,1,0))</f>
        <v>0</v>
      </c>
      <c r="AM138" s="14" t="n">
        <f aca="false" t="array" ref="AM138:AM138">SUM(IF(AA138:AE138,1,0))</f>
        <v>0</v>
      </c>
      <c r="AN138" s="14" t="n">
        <f aca="false" t="array" ref="AN138:AN138">SUM(IF(AF138:AJ138,1,0))</f>
        <v>0</v>
      </c>
      <c r="AO138" s="1" t="n">
        <f aca="false">FALSE()</f>
        <v>0</v>
      </c>
      <c r="AP138" s="1" t="n">
        <f aca="false">IF(O138 = 2,COUNTIF(Q138:AJ138,"TRUE"),-1)</f>
        <v>0</v>
      </c>
    </row>
    <row r="139" customFormat="false" ht="15.75" hidden="false" customHeight="false" outlineLevel="0" collapsed="false">
      <c r="A139" s="8" t="e">
        <f aca="true">INDIRECT("'Ответы на форму (1)'!A"&amp;$N139,TRUE())</f>
        <v>#REF!</v>
      </c>
      <c r="B139" s="0" t="e">
        <f aca="true">INDIRECT("'Ответы на форму (1)'!B"&amp;$N139,TRUE())</f>
        <v>#REF!</v>
      </c>
      <c r="C139" s="0" t="e">
        <f aca="true">INDIRECT("'Ответы на форму (1)'!C"&amp;$N139,TRUE())</f>
        <v>#REF!</v>
      </c>
      <c r="D139" s="0" t="e">
        <f aca="true">INDIRECT("'Ответы на форму (1)'!D"&amp;$N139,TRUE())</f>
        <v>#REF!</v>
      </c>
      <c r="E139" s="0" t="n">
        <f aca="false">IFERROR(__xludf.dummyfunction("iferror(VALUE(REGEXEXTRACT(TEXT(INDIRECT(""'Ответы на форму (1)'!E""&amp;$N139,TRUE),""####""),""[0-9]+"")),IF(IFERROR(SEARCH(""моцро"",INDIRECT(""'Ответы на форму (1)'!E""&amp;$N139,TRUE)),-1) &gt;= 0,117,INDIRECT(""'Ответы на форму (1)'!E""&amp;$N139,TRUE)))"),117)</f>
        <v>117</v>
      </c>
      <c r="F139" s="0" t="e">
        <f aca="true">INDIRECT("'Ответы на форму (1)'!F"&amp;$N139,TRUE())</f>
        <v>#REF!</v>
      </c>
      <c r="G139" s="9" t="e">
        <f aca="true">IFERROR(MID(INDIRECT("'Ответы на форму (1)'!G"&amp;$N139,TRUE()),SEARCH("vk.com",INDIRECT("'Ответы на форму (1)'!G"&amp;$N139,TRUE())),LEN(INDIRECT("'Ответы на форму (1)'!G"&amp;$N139,TRUE()))),INDIRECT("'Ответы на форму (1)'!G"&amp;$N139,TRUE()))</f>
        <v>#REF!</v>
      </c>
      <c r="H139" s="0" t="e">
        <f aca="true">INDIRECT("'Ответы на форму (1)'!H"&amp;$N139,TRUE())</f>
        <v>#REF!</v>
      </c>
      <c r="I139" s="12" t="e">
        <f aca="true">INDIRECT("'Ответы на форму (1)'!I"&amp;$N139,TRUE())</f>
        <v>#REF!</v>
      </c>
      <c r="J139" s="12" t="e">
        <f aca="true">INDIRECT("'Ответы на форму (1)'!J"&amp;$N139,TRUE())</f>
        <v>#REF!</v>
      </c>
      <c r="K139" s="12" t="e">
        <f aca="true">INDIRECT("'Ответы на форму (1)'!K"&amp;$N139,TRUE())</f>
        <v>#REF!</v>
      </c>
      <c r="L139" s="12" t="e">
        <f aca="true">INDIRECT("'Ответы на форму (1)'!L"&amp;$N139,TRUE())</f>
        <v>#REF!</v>
      </c>
      <c r="M139" s="0" t="e">
        <f aca="false" t="array" ref="M139:M139">IF(B139 &lt;&gt; "",IF(COUNTIF(concat(TRIM('Список прошлого года'!$B$2:$B$200),TRIM('Список прошлого года'!$C$2:$C$200)),concat(TRIM(B139),TRIM(C139))) &gt; 0,"Да","Нет"),"")</f>
        <v>#REF!</v>
      </c>
      <c r="N139" s="1" t="n">
        <v>160</v>
      </c>
      <c r="O139" s="1" t="n">
        <v>2</v>
      </c>
      <c r="Q139" s="1" t="n">
        <f aca="false">TRUE()</f>
        <v>1</v>
      </c>
      <c r="R139" s="1" t="n">
        <f aca="false">FALSE()</f>
        <v>0</v>
      </c>
      <c r="S139" s="1" t="n">
        <f aca="false">FALSE()</f>
        <v>0</v>
      </c>
      <c r="T139" s="1" t="n">
        <f aca="false">FALSE()</f>
        <v>0</v>
      </c>
      <c r="U139" s="1" t="n">
        <f aca="false">FALSE()</f>
        <v>0</v>
      </c>
      <c r="V139" s="1" t="n">
        <f aca="false">TRUE()</f>
        <v>1</v>
      </c>
      <c r="W139" s="1" t="n">
        <f aca="false">FALSE()</f>
        <v>0</v>
      </c>
      <c r="X139" s="1" t="n">
        <f aca="false">FALSE()</f>
        <v>0</v>
      </c>
      <c r="Y139" s="1" t="n">
        <f aca="false">FALSE()</f>
        <v>0</v>
      </c>
      <c r="Z139" s="1" t="n">
        <f aca="false">FALSE()</f>
        <v>0</v>
      </c>
      <c r="AA139" s="1" t="n">
        <f aca="false">FALSE()</f>
        <v>0</v>
      </c>
      <c r="AB139" s="1" t="n">
        <f aca="false">FALSE()</f>
        <v>0</v>
      </c>
      <c r="AC139" s="1" t="n">
        <f aca="false">FALSE()</f>
        <v>0</v>
      </c>
      <c r="AD139" s="1" t="n">
        <f aca="false">FALSE()</f>
        <v>0</v>
      </c>
      <c r="AE139" s="1" t="n">
        <f aca="false">FALSE()</f>
        <v>0</v>
      </c>
      <c r="AF139" s="1" t="n">
        <f aca="false">FALSE()</f>
        <v>0</v>
      </c>
      <c r="AG139" s="1" t="n">
        <f aca="false">FALSE()</f>
        <v>0</v>
      </c>
      <c r="AH139" s="1" t="n">
        <f aca="false">FALSE()</f>
        <v>0</v>
      </c>
      <c r="AI139" s="1" t="n">
        <f aca="false">FALSE()</f>
        <v>0</v>
      </c>
      <c r="AJ139" s="1" t="n">
        <f aca="false">FALSE()</f>
        <v>0</v>
      </c>
      <c r="AK139" s="1" t="n">
        <f aca="false" t="array" ref="AK139:AK139">SUM(IF(Q139:U139,1,0))</f>
        <v>1</v>
      </c>
      <c r="AL139" s="14" t="n">
        <f aca="false" t="array" ref="AL139:AL139">SUM(IF(V139:Z139,1,0))</f>
        <v>1</v>
      </c>
      <c r="AM139" s="14" t="n">
        <f aca="false" t="array" ref="AM139:AM139">SUM(IF(AA139:AE139,1,0))</f>
        <v>0</v>
      </c>
      <c r="AN139" s="14" t="n">
        <f aca="false" t="array" ref="AN139:AN139">SUM(IF(AF139:AJ139,1,0))</f>
        <v>0</v>
      </c>
      <c r="AO139" s="1" t="n">
        <f aca="false">FALSE()</f>
        <v>0</v>
      </c>
      <c r="AP139" s="1" t="n">
        <f aca="false">IF(O139 = 2,COUNTIF(Q139:AJ139,"TRUE"),-1)</f>
        <v>2</v>
      </c>
    </row>
    <row r="140" customFormat="false" ht="15.75" hidden="false" customHeight="false" outlineLevel="0" collapsed="false">
      <c r="A140" s="8" t="e">
        <f aca="true">INDIRECT("'Ответы на форму (1)'!A"&amp;$N140,TRUE())</f>
        <v>#REF!</v>
      </c>
      <c r="B140" s="0" t="e">
        <f aca="true">INDIRECT("'Ответы на форму (1)'!B"&amp;$N140,TRUE())</f>
        <v>#REF!</v>
      </c>
      <c r="C140" s="0" t="e">
        <f aca="true">INDIRECT("'Ответы на форму (1)'!C"&amp;$N140,TRUE())</f>
        <v>#REF!</v>
      </c>
      <c r="D140" s="0" t="e">
        <f aca="true">INDIRECT("'Ответы на форму (1)'!D"&amp;$N140,TRUE())</f>
        <v>#REF!</v>
      </c>
      <c r="E140" s="0" t="n">
        <f aca="false">IFERROR(__xludf.dummyfunction("iferror(VALUE(REGEXEXTRACT(TEXT(INDIRECT(""'Ответы на форму (1)'!E""&amp;$N140,TRUE),""####""),""[0-9]+"")),IF(IFERROR(SEARCH(""моцро"",INDIRECT(""'Ответы на форму (1)'!E""&amp;$N140,TRUE)),-1) &gt;= 0,117,INDIRECT(""'Ответы на форму (1)'!E""&amp;$N140,TRUE)))"),117)</f>
        <v>117</v>
      </c>
      <c r="F140" s="0" t="e">
        <f aca="true">INDIRECT("'Ответы на форму (1)'!F"&amp;$N140,TRUE())</f>
        <v>#REF!</v>
      </c>
      <c r="G140" s="9" t="e">
        <f aca="true">IFERROR(MID(INDIRECT("'Ответы на форму (1)'!G"&amp;$N140,TRUE()),SEARCH("vk.com",INDIRECT("'Ответы на форму (1)'!G"&amp;$N140,TRUE())),LEN(INDIRECT("'Ответы на форму (1)'!G"&amp;$N140,TRUE()))),INDIRECT("'Ответы на форму (1)'!G"&amp;$N140,TRUE()))</f>
        <v>#REF!</v>
      </c>
      <c r="H140" s="0" t="e">
        <f aca="true">INDIRECT("'Ответы на форму (1)'!H"&amp;$N140,TRUE())</f>
        <v>#REF!</v>
      </c>
      <c r="I140" s="12" t="e">
        <f aca="true">INDIRECT("'Ответы на форму (1)'!I"&amp;$N140,TRUE())</f>
        <v>#REF!</v>
      </c>
      <c r="J140" s="12" t="e">
        <f aca="true">INDIRECT("'Ответы на форму (1)'!J"&amp;$N140,TRUE())</f>
        <v>#REF!</v>
      </c>
      <c r="K140" s="12" t="e">
        <f aca="true">INDIRECT("'Ответы на форму (1)'!K"&amp;$N140,TRUE())</f>
        <v>#REF!</v>
      </c>
      <c r="L140" s="12" t="e">
        <f aca="true">INDIRECT("'Ответы на форму (1)'!L"&amp;$N140,TRUE())</f>
        <v>#REF!</v>
      </c>
      <c r="M140" s="0" t="e">
        <f aca="false" t="array" ref="M140:M140">IF(B140 &lt;&gt; "",IF(COUNTIF(concat(TRIM('Список прошлого года'!$B$2:$B$200),TRIM('Список прошлого года'!$C$2:$C$200)),concat(TRIM(B140),TRIM(C140))) &gt; 0,"Да","Нет"),"")</f>
        <v>#REF!</v>
      </c>
      <c r="N140" s="1" t="n">
        <v>161</v>
      </c>
      <c r="O140" s="1" t="n">
        <v>2</v>
      </c>
      <c r="P140" s="1" t="s">
        <v>786</v>
      </c>
      <c r="Q140" s="1" t="n">
        <f aca="false">TRUE()</f>
        <v>1</v>
      </c>
      <c r="R140" s="1" t="n">
        <f aca="false">TRUE()</f>
        <v>1</v>
      </c>
      <c r="S140" s="1" t="n">
        <f aca="false">TRUE()</f>
        <v>1</v>
      </c>
      <c r="T140" s="1" t="n">
        <f aca="false">TRUE()</f>
        <v>1</v>
      </c>
      <c r="U140" s="1" t="n">
        <f aca="false">TRUE()</f>
        <v>1</v>
      </c>
      <c r="V140" s="1" t="n">
        <f aca="false">TRUE()</f>
        <v>1</v>
      </c>
      <c r="W140" s="1" t="n">
        <f aca="false">TRUE()</f>
        <v>1</v>
      </c>
      <c r="X140" s="1" t="n">
        <f aca="false">TRUE()</f>
        <v>1</v>
      </c>
      <c r="Y140" s="1" t="n">
        <f aca="false">TRUE()</f>
        <v>1</v>
      </c>
      <c r="Z140" s="1" t="n">
        <f aca="false">TRUE()</f>
        <v>1</v>
      </c>
      <c r="AA140" s="1" t="n">
        <f aca="false">FALSE()</f>
        <v>0</v>
      </c>
      <c r="AB140" s="1" t="n">
        <f aca="false">FALSE()</f>
        <v>0</v>
      </c>
      <c r="AC140" s="1" t="n">
        <f aca="false">FALSE()</f>
        <v>0</v>
      </c>
      <c r="AD140" s="1" t="n">
        <f aca="false">FALSE()</f>
        <v>0</v>
      </c>
      <c r="AE140" s="1" t="n">
        <f aca="false">FALSE()</f>
        <v>0</v>
      </c>
      <c r="AF140" s="1" t="n">
        <f aca="false">FALSE()</f>
        <v>0</v>
      </c>
      <c r="AG140" s="1" t="n">
        <f aca="false">FALSE()</f>
        <v>0</v>
      </c>
      <c r="AH140" s="1" t="n">
        <f aca="false">FALSE()</f>
        <v>0</v>
      </c>
      <c r="AI140" s="1" t="n">
        <f aca="false">FALSE()</f>
        <v>0</v>
      </c>
      <c r="AJ140" s="1" t="n">
        <f aca="false">FALSE()</f>
        <v>0</v>
      </c>
      <c r="AK140" s="1" t="n">
        <f aca="false" t="array" ref="AK140:AK140">SUM(IF(Q140:U140,1,0))</f>
        <v>5</v>
      </c>
      <c r="AL140" s="14" t="n">
        <f aca="false" t="array" ref="AL140:AL140">SUM(IF(V140:Z140,1,0))</f>
        <v>5</v>
      </c>
      <c r="AM140" s="14" t="n">
        <f aca="false" t="array" ref="AM140:AM140">SUM(IF(AA140:AE140,1,0))</f>
        <v>0</v>
      </c>
      <c r="AN140" s="14" t="n">
        <f aca="false" t="array" ref="AN140:AN140">SUM(IF(AF140:AJ140,1,0))</f>
        <v>0</v>
      </c>
      <c r="AO140" s="1" t="n">
        <f aca="false">FALSE()</f>
        <v>0</v>
      </c>
      <c r="AP140" s="1" t="n">
        <f aca="false">IF(O140 = 2,COUNTIF(Q140:AJ140,"TRUE"),-1)</f>
        <v>10</v>
      </c>
    </row>
    <row r="141" customFormat="false" ht="15.75" hidden="false" customHeight="false" outlineLevel="0" collapsed="false">
      <c r="A141" s="28" t="e">
        <f aca="true">INDIRECT("'Ответы на форму (1)'!A"&amp;$N141,TRUE())</f>
        <v>#REF!</v>
      </c>
      <c r="B141" s="29" t="e">
        <f aca="true">INDIRECT("'Ответы на форму (1)'!B"&amp;$N141,TRUE())</f>
        <v>#REF!</v>
      </c>
      <c r="C141" s="29" t="e">
        <f aca="true">INDIRECT("'Ответы на форму (1)'!C"&amp;$N141,TRUE())</f>
        <v>#REF!</v>
      </c>
      <c r="D141" s="29" t="e">
        <f aca="true">INDIRECT("'Ответы на форму (1)'!D"&amp;$N141,TRUE())</f>
        <v>#REF!</v>
      </c>
      <c r="E141" s="29" t="n">
        <f aca="false">IFERROR(__xludf.dummyfunction("iferror(VALUE(REGEXEXTRACT(TEXT(INDIRECT(""'Ответы на форму (1)'!E""&amp;$N141,TRUE),""####""),""[0-9]+"")),IF(IFERROR(SEARCH(""моцро"",INDIRECT(""'Ответы на форму (1)'!E""&amp;$N141,TRUE)),-1) &gt;= 0,117,INDIRECT(""'Ответы на форму (1)'!E""&amp;$N141,TRUE)))"),117)</f>
        <v>117</v>
      </c>
      <c r="F141" s="29" t="e">
        <f aca="true">INDIRECT("'Ответы на форму (1)'!F"&amp;$N141,TRUE())</f>
        <v>#REF!</v>
      </c>
      <c r="G141" s="30" t="e">
        <f aca="true">IFERROR(MID(INDIRECT("'Ответы на форму (1)'!G"&amp;$N141,TRUE()),SEARCH("vk.com",INDIRECT("'Ответы на форму (1)'!G"&amp;$N141,TRUE())),LEN(INDIRECT("'Ответы на форму (1)'!G"&amp;$N141,TRUE()))),INDIRECT("'Ответы на форму (1)'!G"&amp;$N141,TRUE()))</f>
        <v>#REF!</v>
      </c>
      <c r="H141" s="29" t="e">
        <f aca="true">INDIRECT("'Ответы на форму (1)'!H"&amp;$N141,TRUE())</f>
        <v>#REF!</v>
      </c>
      <c r="I141" s="29" t="e">
        <f aca="true">INDIRECT("'Ответы на форму (1)'!I"&amp;$N141,TRUE())</f>
        <v>#REF!</v>
      </c>
      <c r="J141" s="29" t="e">
        <f aca="true">INDIRECT("'Ответы на форму (1)'!J"&amp;$N141,TRUE())</f>
        <v>#REF!</v>
      </c>
      <c r="K141" s="29" t="e">
        <f aca="true">INDIRECT("'Ответы на форму (1)'!K"&amp;$N141,TRUE())</f>
        <v>#REF!</v>
      </c>
      <c r="L141" s="29" t="e">
        <f aca="true">INDIRECT("'Ответы на форму (1)'!L"&amp;$N141,TRUE())</f>
        <v>#REF!</v>
      </c>
      <c r="M141" s="29" t="e">
        <f aca="false" t="array" ref="M141:M141">IF(B141 &lt;&gt; "",IF(COUNTIF(concat(TRIM('Список прошлого года'!$B$2:$B$200),TRIM('Список прошлого года'!$C$2:$C$200)),concat(TRIM(B141),TRIM(C141))) &gt; 0,"Да","Нет"),"")</f>
        <v>#REF!</v>
      </c>
      <c r="N141" s="31" t="n">
        <v>162</v>
      </c>
      <c r="O141" s="31" t="n">
        <v>1</v>
      </c>
      <c r="P141" s="29"/>
      <c r="Q141" s="31" t="n">
        <f aca="false">FALSE()</f>
        <v>0</v>
      </c>
      <c r="R141" s="31" t="n">
        <f aca="false">FALSE()</f>
        <v>0</v>
      </c>
      <c r="S141" s="31" t="n">
        <f aca="false">FALSE()</f>
        <v>0</v>
      </c>
      <c r="T141" s="31" t="n">
        <f aca="false">FALSE()</f>
        <v>0</v>
      </c>
      <c r="U141" s="31" t="n">
        <f aca="false">FALSE()</f>
        <v>0</v>
      </c>
      <c r="V141" s="31" t="n">
        <f aca="false">FALSE()</f>
        <v>0</v>
      </c>
      <c r="W141" s="31" t="n">
        <f aca="false">FALSE()</f>
        <v>0</v>
      </c>
      <c r="X141" s="31" t="n">
        <f aca="false">FALSE()</f>
        <v>0</v>
      </c>
      <c r="Y141" s="31" t="n">
        <f aca="false">FALSE()</f>
        <v>0</v>
      </c>
      <c r="Z141" s="31" t="n">
        <f aca="false">FALSE()</f>
        <v>0</v>
      </c>
      <c r="AA141" s="31" t="n">
        <f aca="false">FALSE()</f>
        <v>0</v>
      </c>
      <c r="AB141" s="31" t="n">
        <f aca="false">FALSE()</f>
        <v>0</v>
      </c>
      <c r="AC141" s="31" t="n">
        <f aca="false">FALSE()</f>
        <v>0</v>
      </c>
      <c r="AD141" s="31" t="n">
        <f aca="false">FALSE()</f>
        <v>0</v>
      </c>
      <c r="AE141" s="31" t="n">
        <f aca="false">FALSE()</f>
        <v>0</v>
      </c>
      <c r="AF141" s="31" t="n">
        <f aca="false">FALSE()</f>
        <v>0</v>
      </c>
      <c r="AG141" s="31" t="n">
        <f aca="false">FALSE()</f>
        <v>0</v>
      </c>
      <c r="AH141" s="31" t="n">
        <f aca="false">FALSE()</f>
        <v>0</v>
      </c>
      <c r="AI141" s="31" t="n">
        <f aca="false">FALSE()</f>
        <v>0</v>
      </c>
      <c r="AJ141" s="31" t="n">
        <f aca="false">FALSE()</f>
        <v>0</v>
      </c>
      <c r="AK141" s="31" t="n">
        <f aca="false" t="array" ref="AK141:AK141">SUM(IF(Q141:U141,1,0))</f>
        <v>0</v>
      </c>
      <c r="AL141" s="32" t="n">
        <f aca="false" t="array" ref="AL141:AL141">SUM(IF(V141:Z141,1,0))</f>
        <v>0</v>
      </c>
      <c r="AM141" s="32" t="n">
        <f aca="false" t="array" ref="AM141:AM141">SUM(IF(AA141:AE141,1,0))</f>
        <v>0</v>
      </c>
      <c r="AN141" s="32" t="n">
        <f aca="false" t="array" ref="AN141:AN141">SUM(IF(AF141:AJ141,1,0))</f>
        <v>0</v>
      </c>
      <c r="AO141" s="31" t="n">
        <f aca="false">FALSE()</f>
        <v>0</v>
      </c>
      <c r="AP141" s="1" t="n">
        <f aca="false">IF(O141 = 2,COUNTIF(Q141:AJ141,"TRUE"),-1)</f>
        <v>-1</v>
      </c>
    </row>
    <row r="142" customFormat="false" ht="15.75" hidden="false" customHeight="false" outlineLevel="0" collapsed="false">
      <c r="A142" s="15" t="e">
        <f aca="true">INDIRECT("'Ответы на форму (1)'!A"&amp;$N142,TRUE())</f>
        <v>#REF!</v>
      </c>
      <c r="B142" s="16" t="e">
        <f aca="true">INDIRECT("'Ответы на форму (1)'!B"&amp;$N142,TRUE())</f>
        <v>#REF!</v>
      </c>
      <c r="C142" s="16" t="e">
        <f aca="true">INDIRECT("'Ответы на форму (1)'!C"&amp;$N142,TRUE())</f>
        <v>#REF!</v>
      </c>
      <c r="D142" s="16" t="e">
        <f aca="true">INDIRECT("'Ответы на форму (1)'!D"&amp;$N142,TRUE())</f>
        <v>#REF!</v>
      </c>
      <c r="E142" s="16" t="n">
        <f aca="false">IFERROR(__xludf.dummyfunction("iferror(VALUE(REGEXEXTRACT(TEXT(INDIRECT(""'Ответы на форму (1)'!E""&amp;$N142,TRUE),""####""),""[0-9]+"")),IF(IFERROR(SEARCH(""моцро"",INDIRECT(""'Ответы на форму (1)'!E""&amp;$N142,TRUE)),-1) &gt;= 0,117,INDIRECT(""'Ответы на форму (1)'!E""&amp;$N142,TRUE)))"),117)</f>
        <v>117</v>
      </c>
      <c r="F142" s="16" t="e">
        <f aca="true">INDIRECT("'Ответы на форму (1)'!F"&amp;$N142,TRUE())</f>
        <v>#REF!</v>
      </c>
      <c r="G142" s="17" t="e">
        <f aca="true">IFERROR(MID(INDIRECT("'Ответы на форму (1)'!G"&amp;$N142,TRUE()),SEARCH("vk.com",INDIRECT("'Ответы на форму (1)'!G"&amp;$N142,TRUE())),LEN(INDIRECT("'Ответы на форму (1)'!G"&amp;$N142,TRUE()))),INDIRECT("'Ответы на форму (1)'!G"&amp;$N142,TRUE()))</f>
        <v>#REF!</v>
      </c>
      <c r="H142" s="16" t="e">
        <f aca="true">INDIRECT("'Ответы на форму (1)'!H"&amp;$N142,TRUE())</f>
        <v>#REF!</v>
      </c>
      <c r="I142" s="16" t="e">
        <f aca="true">INDIRECT("'Ответы на форму (1)'!I"&amp;$N142,TRUE())</f>
        <v>#REF!</v>
      </c>
      <c r="J142" s="16" t="e">
        <f aca="true">INDIRECT("'Ответы на форму (1)'!J"&amp;$N142,TRUE())</f>
        <v>#REF!</v>
      </c>
      <c r="K142" s="16" t="e">
        <f aca="true">INDIRECT("'Ответы на форму (1)'!K"&amp;$N142,TRUE())</f>
        <v>#REF!</v>
      </c>
      <c r="L142" s="16" t="e">
        <f aca="true">INDIRECT("'Ответы на форму (1)'!L"&amp;$N142,TRUE())</f>
        <v>#REF!</v>
      </c>
      <c r="M142" s="16" t="e">
        <f aca="false" t="array" ref="M142:M142">IF(B142 &lt;&gt; "",IF(COUNTIF(concat(TRIM('Список прошлого года'!$B$2:$B$200),TRIM('Список прошлого года'!$C$2:$C$200)),concat(TRIM(B142),TRIM(C142))) &gt; 0,"Да","Нет"),"")</f>
        <v>#REF!</v>
      </c>
      <c r="N142" s="19" t="n">
        <v>164</v>
      </c>
      <c r="O142" s="19" t="n">
        <v>2</v>
      </c>
      <c r="P142" s="16"/>
      <c r="Q142" s="19" t="n">
        <f aca="false">TRUE()</f>
        <v>1</v>
      </c>
      <c r="R142" s="19" t="n">
        <f aca="false">TRUE()</f>
        <v>1</v>
      </c>
      <c r="S142" s="19" t="n">
        <f aca="false">TRUE()</f>
        <v>1</v>
      </c>
      <c r="T142" s="19" t="n">
        <f aca="false">TRUE()</f>
        <v>1</v>
      </c>
      <c r="U142" s="19" t="n">
        <f aca="false">TRUE()</f>
        <v>1</v>
      </c>
      <c r="V142" s="19" t="n">
        <f aca="false">TRUE()</f>
        <v>1</v>
      </c>
      <c r="W142" s="19" t="n">
        <f aca="false">TRUE()</f>
        <v>1</v>
      </c>
      <c r="X142" s="19" t="n">
        <f aca="false">TRUE()</f>
        <v>1</v>
      </c>
      <c r="Y142" s="19" t="n">
        <f aca="false">TRUE()</f>
        <v>1</v>
      </c>
      <c r="Z142" s="19" t="n">
        <f aca="false">TRUE()</f>
        <v>1</v>
      </c>
      <c r="AA142" s="19" t="n">
        <f aca="false">TRUE()</f>
        <v>1</v>
      </c>
      <c r="AB142" s="19" t="n">
        <f aca="false">TRUE()</f>
        <v>1</v>
      </c>
      <c r="AC142" s="19" t="n">
        <f aca="false">TRUE()</f>
        <v>1</v>
      </c>
      <c r="AD142" s="19" t="n">
        <f aca="false">FALSE()</f>
        <v>0</v>
      </c>
      <c r="AE142" s="19" t="n">
        <f aca="false">TRUE()</f>
        <v>1</v>
      </c>
      <c r="AF142" s="19" t="n">
        <f aca="false">TRUE()</f>
        <v>1</v>
      </c>
      <c r="AG142" s="19" t="n">
        <f aca="false">FALSE()</f>
        <v>0</v>
      </c>
      <c r="AH142" s="19" t="n">
        <f aca="false">TRUE()</f>
        <v>1</v>
      </c>
      <c r="AI142" s="19" t="n">
        <f aca="false">FALSE()</f>
        <v>0</v>
      </c>
      <c r="AJ142" s="19" t="n">
        <f aca="false">TRUE()</f>
        <v>1</v>
      </c>
      <c r="AK142" s="19" t="n">
        <f aca="false" t="array" ref="AK142:AK142">SUM(IF(Q142:U142,1,0))</f>
        <v>5</v>
      </c>
      <c r="AL142" s="20" t="n">
        <f aca="false" t="array" ref="AL142:AL142">SUM(IF(V142:Z142,1,0))</f>
        <v>5</v>
      </c>
      <c r="AM142" s="20" t="n">
        <f aca="false" t="array" ref="AM142:AM142">SUM(IF(AA142:AE142,1,0))</f>
        <v>4</v>
      </c>
      <c r="AN142" s="20" t="n">
        <f aca="false" t="array" ref="AN142:AN142">SUM(IF(AF142:AJ142,1,0))</f>
        <v>3</v>
      </c>
      <c r="AO142" s="19" t="n">
        <f aca="false">TRUE()</f>
        <v>1</v>
      </c>
      <c r="AP142" s="1" t="n">
        <f aca="false">IF(O142 = 2,COUNTIF(Q142:AJ142,"TRUE"),-1)</f>
        <v>17</v>
      </c>
    </row>
    <row r="143" customFormat="false" ht="15.75" hidden="false" customHeight="false" outlineLevel="0" collapsed="false">
      <c r="A143" s="8" t="e">
        <f aca="true">INDIRECT("'Ответы на форму (1)'!A"&amp;$N143,TRUE())</f>
        <v>#REF!</v>
      </c>
      <c r="B143" s="0" t="e">
        <f aca="true">INDIRECT("'Ответы на форму (1)'!B"&amp;$N143,TRUE())</f>
        <v>#REF!</v>
      </c>
      <c r="C143" s="0" t="e">
        <f aca="true">INDIRECT("'Ответы на форму (1)'!C"&amp;$N143,TRUE())</f>
        <v>#REF!</v>
      </c>
      <c r="D143" s="0" t="e">
        <f aca="true">INDIRECT("'Ответы на форму (1)'!D"&amp;$N143,TRUE())</f>
        <v>#REF!</v>
      </c>
      <c r="E143" s="0" t="n">
        <f aca="false">IFERROR(__xludf.dummyfunction("iferror(VALUE(REGEXEXTRACT(TEXT(INDIRECT(""'Ответы на форму (1)'!E""&amp;$N143,TRUE),""####""),""[0-9]+"")),IF(IFERROR(SEARCH(""моцро"",INDIRECT(""'Ответы на форму (1)'!E""&amp;$N143,TRUE)),-1) &gt;= 0,117,INDIRECT(""'Ответы на форму (1)'!E""&amp;$N143,TRUE)))"),117)</f>
        <v>117</v>
      </c>
      <c r="F143" s="0" t="e">
        <f aca="true">INDIRECT("'Ответы на форму (1)'!F"&amp;$N143,TRUE())</f>
        <v>#REF!</v>
      </c>
      <c r="G143" s="0" t="e">
        <f aca="true">IFERROR(MID(INDIRECT("'Ответы на форму (1)'!G"&amp;$N143,TRUE()),SEARCH("vk.com",INDIRECT("'Ответы на форму (1)'!G"&amp;$N143,TRUE())),LEN(INDIRECT("'Ответы на форму (1)'!G"&amp;$N143,TRUE()))),INDIRECT("'Ответы на форму (1)'!G"&amp;$N143,TRUE()))</f>
        <v>#REF!</v>
      </c>
      <c r="H143" s="0" t="e">
        <f aca="true">INDIRECT("'Ответы на форму (1)'!H"&amp;$N143,TRUE())</f>
        <v>#REF!</v>
      </c>
      <c r="I143" s="12" t="e">
        <f aca="true">INDIRECT("'Ответы на форму (1)'!I"&amp;$N143,TRUE())</f>
        <v>#REF!</v>
      </c>
      <c r="J143" s="12" t="e">
        <f aca="true">INDIRECT("'Ответы на форму (1)'!J"&amp;$N143,TRUE())</f>
        <v>#REF!</v>
      </c>
      <c r="K143" s="12" t="e">
        <f aca="true">INDIRECT("'Ответы на форму (1)'!K"&amp;$N143,TRUE())</f>
        <v>#REF!</v>
      </c>
      <c r="L143" s="12" t="e">
        <f aca="true">INDIRECT("'Ответы на форму (1)'!L"&amp;$N143,TRUE())</f>
        <v>#REF!</v>
      </c>
      <c r="M143" s="0" t="e">
        <f aca="false" t="array" ref="M143:M143">IF(B143 &lt;&gt; "",IF(COUNTIF(concat(TRIM('Список прошлого года'!$B$2:$B$200),TRIM('Список прошлого года'!$C$2:$C$200)),concat(TRIM(B143),TRIM(C143))) &gt; 0,"Да","Нет"),"")</f>
        <v>#REF!</v>
      </c>
      <c r="N143" s="1" t="n">
        <v>165</v>
      </c>
      <c r="O143" s="1" t="n">
        <v>2</v>
      </c>
      <c r="Q143" s="1" t="n">
        <f aca="false">TRUE()</f>
        <v>1</v>
      </c>
      <c r="R143" s="1" t="n">
        <f aca="false">FALSE()</f>
        <v>0</v>
      </c>
      <c r="S143" s="1" t="n">
        <f aca="false">FALSE()</f>
        <v>0</v>
      </c>
      <c r="T143" s="1" t="n">
        <f aca="false">FALSE()</f>
        <v>0</v>
      </c>
      <c r="U143" s="1" t="n">
        <f aca="false">FALSE()</f>
        <v>0</v>
      </c>
      <c r="V143" s="1" t="n">
        <f aca="false">TRUE()</f>
        <v>1</v>
      </c>
      <c r="W143" s="1" t="n">
        <f aca="false">FALSE()</f>
        <v>0</v>
      </c>
      <c r="X143" s="1" t="n">
        <f aca="false">FALSE()</f>
        <v>0</v>
      </c>
      <c r="Y143" s="1" t="n">
        <f aca="false">FALSE()</f>
        <v>0</v>
      </c>
      <c r="Z143" s="1" t="n">
        <f aca="false">FALSE()</f>
        <v>0</v>
      </c>
      <c r="AA143" s="1" t="n">
        <f aca="false">TRUE()</f>
        <v>1</v>
      </c>
      <c r="AB143" s="1" t="n">
        <f aca="false">TRUE()</f>
        <v>1</v>
      </c>
      <c r="AC143" s="1" t="n">
        <f aca="false">TRUE()</f>
        <v>1</v>
      </c>
      <c r="AD143" s="1" t="n">
        <f aca="false">TRUE()</f>
        <v>1</v>
      </c>
      <c r="AE143" s="1" t="n">
        <f aca="false">TRUE()</f>
        <v>1</v>
      </c>
      <c r="AF143" s="1" t="n">
        <f aca="false">TRUE()</f>
        <v>1</v>
      </c>
      <c r="AG143" s="1" t="n">
        <f aca="false">FALSE()</f>
        <v>0</v>
      </c>
      <c r="AH143" s="1" t="n">
        <f aca="false">TRUE()</f>
        <v>1</v>
      </c>
      <c r="AI143" s="1" t="n">
        <f aca="false">TRUE()</f>
        <v>1</v>
      </c>
      <c r="AJ143" s="1" t="n">
        <f aca="false">TRUE()</f>
        <v>1</v>
      </c>
      <c r="AK143" s="1" t="n">
        <f aca="false" t="array" ref="AK143:AK143">SUM(IF(Q143:U143,1,0))</f>
        <v>1</v>
      </c>
      <c r="AL143" s="14" t="n">
        <f aca="false" t="array" ref="AL143:AL143">SUM(IF(V143:Z143,1,0))</f>
        <v>1</v>
      </c>
      <c r="AM143" s="14" t="n">
        <f aca="false" t="array" ref="AM143:AM143">SUM(IF(AA143:AE143,1,0))</f>
        <v>5</v>
      </c>
      <c r="AN143" s="14" t="n">
        <f aca="false" t="array" ref="AN143:AN143">SUM(IF(AF143:AJ143,1,0))</f>
        <v>4</v>
      </c>
      <c r="AO143" s="1" t="n">
        <f aca="false">FALSE()</f>
        <v>0</v>
      </c>
      <c r="AP143" s="1" t="n">
        <f aca="false">IF(O143 = 2,COUNTIF(Q143:AJ143,"TRUE"),-1)</f>
        <v>11</v>
      </c>
    </row>
    <row r="144" customFormat="false" ht="15.75" hidden="false" customHeight="false" outlineLevel="0" collapsed="false">
      <c r="A144" s="8" t="e">
        <f aca="true">INDIRECT("'Ответы на форму (1)'!A"&amp;$N144,TRUE())</f>
        <v>#REF!</v>
      </c>
      <c r="B144" s="0" t="e">
        <f aca="true">INDIRECT("'Ответы на форму (1)'!B"&amp;$N144,TRUE())</f>
        <v>#REF!</v>
      </c>
      <c r="C144" s="0" t="e">
        <f aca="true">INDIRECT("'Ответы на форму (1)'!C"&amp;$N144,TRUE())</f>
        <v>#REF!</v>
      </c>
      <c r="D144" s="0" t="e">
        <f aca="true">INDIRECT("'Ответы на форму (1)'!D"&amp;$N144,TRUE())</f>
        <v>#REF!</v>
      </c>
      <c r="E144" s="0" t="n">
        <f aca="false">IFERROR(__xludf.dummyfunction("iferror(VALUE(REGEXEXTRACT(TEXT(INDIRECT(""'Ответы на форму (1)'!E""&amp;$N144,TRUE),""####""),""[0-9]+"")),IF(IFERROR(SEARCH(""моцро"",INDIRECT(""'Ответы на форму (1)'!E""&amp;$N144,TRUE)),-1) &gt;= 0,117,INDIRECT(""'Ответы на форму (1)'!E""&amp;$N144,TRUE)))"),117)</f>
        <v>117</v>
      </c>
      <c r="F144" s="0" t="e">
        <f aca="true">INDIRECT("'Ответы на форму (1)'!F"&amp;$N144,TRUE())</f>
        <v>#REF!</v>
      </c>
      <c r="G144" s="9" t="e">
        <f aca="true">IFERROR(MID(INDIRECT("'Ответы на форму (1)'!G"&amp;$N144,TRUE()),SEARCH("vk.com",INDIRECT("'Ответы на форму (1)'!G"&amp;$N144,TRUE())),LEN(INDIRECT("'Ответы на форму (1)'!G"&amp;$N144,TRUE()))),INDIRECT("'Ответы на форму (1)'!G"&amp;$N144,TRUE()))</f>
        <v>#REF!</v>
      </c>
      <c r="H144" s="0" t="e">
        <f aca="true">INDIRECT("'Ответы на форму (1)'!H"&amp;$N144,TRUE())</f>
        <v>#REF!</v>
      </c>
      <c r="I144" s="12" t="e">
        <f aca="true">INDIRECT("'Ответы на форму (1)'!I"&amp;$N144,TRUE())</f>
        <v>#REF!</v>
      </c>
      <c r="J144" s="12" t="e">
        <f aca="true">INDIRECT("'Ответы на форму (1)'!J"&amp;$N144,TRUE())</f>
        <v>#REF!</v>
      </c>
      <c r="K144" s="12" t="e">
        <f aca="true">INDIRECT("'Ответы на форму (1)'!K"&amp;$N144,TRUE())</f>
        <v>#REF!</v>
      </c>
      <c r="L144" s="12" t="e">
        <f aca="true">INDIRECT("'Ответы на форму (1)'!L"&amp;$N144,TRUE())</f>
        <v>#REF!</v>
      </c>
      <c r="M144" s="0" t="e">
        <f aca="false" t="array" ref="M144:M144">IF(B144 &lt;&gt; "",IF(COUNTIF(concat(TRIM('Список прошлого года'!$B$2:$B$200),TRIM('Список прошлого года'!$C$2:$C$200)),concat(TRIM(B144),TRIM(C144))) &gt; 0,"Да","Нет"),"")</f>
        <v>#REF!</v>
      </c>
      <c r="N144" s="1" t="n">
        <v>166</v>
      </c>
      <c r="O144" s="1" t="n">
        <v>1</v>
      </c>
      <c r="Q144" s="1" t="n">
        <f aca="false">FALSE()</f>
        <v>0</v>
      </c>
      <c r="R144" s="1" t="n">
        <f aca="false">FALSE()</f>
        <v>0</v>
      </c>
      <c r="S144" s="1" t="n">
        <f aca="false">FALSE()</f>
        <v>0</v>
      </c>
      <c r="T144" s="1" t="n">
        <f aca="false">FALSE()</f>
        <v>0</v>
      </c>
      <c r="U144" s="1" t="n">
        <f aca="false">FALSE()</f>
        <v>0</v>
      </c>
      <c r="V144" s="1" t="n">
        <f aca="false">FALSE()</f>
        <v>0</v>
      </c>
      <c r="W144" s="1" t="n">
        <f aca="false">FALSE()</f>
        <v>0</v>
      </c>
      <c r="X144" s="1" t="n">
        <f aca="false">FALSE()</f>
        <v>0</v>
      </c>
      <c r="Y144" s="1" t="n">
        <f aca="false">FALSE()</f>
        <v>0</v>
      </c>
      <c r="Z144" s="1" t="n">
        <f aca="false">FALSE()</f>
        <v>0</v>
      </c>
      <c r="AA144" s="1" t="n">
        <f aca="false">FALSE()</f>
        <v>0</v>
      </c>
      <c r="AB144" s="1" t="n">
        <f aca="false">FALSE()</f>
        <v>0</v>
      </c>
      <c r="AC144" s="1" t="n">
        <f aca="false">FALSE()</f>
        <v>0</v>
      </c>
      <c r="AD144" s="1" t="n">
        <f aca="false">FALSE()</f>
        <v>0</v>
      </c>
      <c r="AE144" s="1" t="n">
        <f aca="false">FALSE()</f>
        <v>0</v>
      </c>
      <c r="AF144" s="1" t="n">
        <f aca="false">TRUE()</f>
        <v>1</v>
      </c>
      <c r="AG144" s="1" t="n">
        <f aca="false">FALSE()</f>
        <v>0</v>
      </c>
      <c r="AH144" s="1" t="n">
        <f aca="false">FALSE()</f>
        <v>0</v>
      </c>
      <c r="AI144" s="1" t="n">
        <f aca="false">FALSE()</f>
        <v>0</v>
      </c>
      <c r="AJ144" s="1" t="n">
        <f aca="false">FALSE()</f>
        <v>0</v>
      </c>
      <c r="AK144" s="1" t="n">
        <f aca="false" t="array" ref="AK144:AK144">SUM(IF(Q144:U144,1,0))</f>
        <v>0</v>
      </c>
      <c r="AL144" s="14" t="n">
        <f aca="false" t="array" ref="AL144:AL144">SUM(IF(V144:Z144,1,0))</f>
        <v>0</v>
      </c>
      <c r="AM144" s="14" t="n">
        <f aca="false" t="array" ref="AM144:AM144">SUM(IF(AA144:AE144,1,0))</f>
        <v>0</v>
      </c>
      <c r="AN144" s="14" t="n">
        <f aca="false" t="array" ref="AN144:AN144">SUM(IF(AF144:AJ144,1,0))</f>
        <v>1</v>
      </c>
      <c r="AO144" s="1" t="n">
        <f aca="false">FALSE()</f>
        <v>0</v>
      </c>
      <c r="AP144" s="1" t="n">
        <f aca="false">IF(O144 = 2,COUNTIF(Q144:AJ144,"TRUE"),-1)</f>
        <v>-1</v>
      </c>
    </row>
    <row r="145" customFormat="false" ht="15.75" hidden="false" customHeight="false" outlineLevel="0" collapsed="false">
      <c r="A145" s="8" t="e">
        <f aca="true">INDIRECT("'Ответы на форму (1)'!A"&amp;$N145,TRUE())</f>
        <v>#REF!</v>
      </c>
      <c r="B145" s="0" t="e">
        <f aca="true">INDIRECT("'Ответы на форму (1)'!B"&amp;$N145,TRUE())</f>
        <v>#REF!</v>
      </c>
      <c r="C145" s="0" t="e">
        <f aca="true">INDIRECT("'Ответы на форму (1)'!C"&amp;$N145,TRUE())</f>
        <v>#REF!</v>
      </c>
      <c r="D145" s="0" t="e">
        <f aca="true">INDIRECT("'Ответы на форму (1)'!D"&amp;$N145,TRUE())</f>
        <v>#REF!</v>
      </c>
      <c r="E145" s="0" t="n">
        <f aca="false">IFERROR(__xludf.dummyfunction("iferror(VALUE(REGEXEXTRACT(TEXT(INDIRECT(""'Ответы на форму (1)'!E""&amp;$N145,TRUE),""####""),""[0-9]+"")),IF(IFERROR(SEARCH(""моцро"",INDIRECT(""'Ответы на форму (1)'!E""&amp;$N145,TRUE)),-1) &gt;= 0,117,INDIRECT(""'Ответы на форму (1)'!E""&amp;$N145,TRUE)))"),146)</f>
        <v>146</v>
      </c>
      <c r="F145" s="0" t="e">
        <f aca="true">INDIRECT("'Ответы на форму (1)'!F"&amp;$N145,TRUE())</f>
        <v>#REF!</v>
      </c>
      <c r="G145" s="9" t="e">
        <f aca="true">IFERROR(MID(INDIRECT("'Ответы на форму (1)'!G"&amp;$N145,TRUE()),SEARCH("vk.com",INDIRECT("'Ответы на форму (1)'!G"&amp;$N145,TRUE())),LEN(INDIRECT("'Ответы на форму (1)'!G"&amp;$N145,TRUE()))),INDIRECT("'Ответы на форму (1)'!G"&amp;$N145,TRUE()))</f>
        <v>#REF!</v>
      </c>
      <c r="H145" s="0" t="e">
        <f aca="true">INDIRECT("'Ответы на форму (1)'!H"&amp;$N145,TRUE())</f>
        <v>#REF!</v>
      </c>
      <c r="I145" s="12" t="e">
        <f aca="true">INDIRECT("'Ответы на форму (1)'!I"&amp;$N145,TRUE())</f>
        <v>#REF!</v>
      </c>
      <c r="J145" s="12" t="e">
        <f aca="true">INDIRECT("'Ответы на форму (1)'!J"&amp;$N145,TRUE())</f>
        <v>#REF!</v>
      </c>
      <c r="K145" s="12" t="e">
        <f aca="true">INDIRECT("'Ответы на форму (1)'!K"&amp;$N145,TRUE())</f>
        <v>#REF!</v>
      </c>
      <c r="L145" s="12" t="e">
        <f aca="true">INDIRECT("'Ответы на форму (1)'!L"&amp;$N145,TRUE())</f>
        <v>#REF!</v>
      </c>
      <c r="M145" s="0" t="e">
        <f aca="false" t="array" ref="M145:M145">IF(B145 &lt;&gt; "",IF(COUNTIF(concat(TRIM('Список прошлого года'!$B$2:$B$200),TRIM('Список прошлого года'!$C$2:$C$200)),concat(TRIM(B145),TRIM(C145))) &gt; 0,"Да","Нет"),"")</f>
        <v>#REF!</v>
      </c>
      <c r="N145" s="1" t="n">
        <v>167</v>
      </c>
      <c r="O145" s="1" t="n">
        <v>2</v>
      </c>
      <c r="Q145" s="1" t="n">
        <f aca="false">TRUE()</f>
        <v>1</v>
      </c>
      <c r="R145" s="1" t="n">
        <f aca="false">TRUE()</f>
        <v>1</v>
      </c>
      <c r="S145" s="1" t="n">
        <f aca="false">TRUE()</f>
        <v>1</v>
      </c>
      <c r="T145" s="1" t="n">
        <f aca="false">TRUE()</f>
        <v>1</v>
      </c>
      <c r="U145" s="1" t="n">
        <f aca="false">FALSE()</f>
        <v>0</v>
      </c>
      <c r="V145" s="1" t="n">
        <f aca="false">TRUE()</f>
        <v>1</v>
      </c>
      <c r="W145" s="1" t="n">
        <f aca="false">TRUE()</f>
        <v>1</v>
      </c>
      <c r="X145" s="1" t="n">
        <f aca="false">TRUE()</f>
        <v>1</v>
      </c>
      <c r="Y145" s="1" t="n">
        <f aca="false">TRUE()</f>
        <v>1</v>
      </c>
      <c r="Z145" s="1" t="n">
        <f aca="false">FALSE()</f>
        <v>0</v>
      </c>
      <c r="AA145" s="1" t="n">
        <f aca="false">TRUE()</f>
        <v>1</v>
      </c>
      <c r="AB145" s="1" t="n">
        <f aca="false">TRUE()</f>
        <v>1</v>
      </c>
      <c r="AC145" s="1" t="n">
        <f aca="false">TRUE()</f>
        <v>1</v>
      </c>
      <c r="AD145" s="1" t="n">
        <f aca="false">FALSE()</f>
        <v>0</v>
      </c>
      <c r="AE145" s="1" t="n">
        <f aca="false">FALSE()</f>
        <v>0</v>
      </c>
      <c r="AF145" s="1" t="n">
        <f aca="false">TRUE()</f>
        <v>1</v>
      </c>
      <c r="AG145" s="1" t="n">
        <f aca="false">TRUE()</f>
        <v>1</v>
      </c>
      <c r="AH145" s="1" t="n">
        <f aca="false">TRUE()</f>
        <v>1</v>
      </c>
      <c r="AI145" s="1" t="n">
        <f aca="false">FALSE()</f>
        <v>0</v>
      </c>
      <c r="AJ145" s="1" t="n">
        <f aca="false">FALSE()</f>
        <v>0</v>
      </c>
      <c r="AK145" s="1" t="n">
        <f aca="false" t="array" ref="AK145:AK145">SUM(IF(Q145:U145,1,0))</f>
        <v>4</v>
      </c>
      <c r="AL145" s="14" t="n">
        <f aca="false" t="array" ref="AL145:AL145">SUM(IF(V145:Z145,1,0))</f>
        <v>4</v>
      </c>
      <c r="AM145" s="14" t="n">
        <f aca="false" t="array" ref="AM145:AM145">SUM(IF(AA145:AE145,1,0))</f>
        <v>3</v>
      </c>
      <c r="AN145" s="14" t="n">
        <f aca="false" t="array" ref="AN145:AN145">SUM(IF(AF145:AJ145,1,0))</f>
        <v>3</v>
      </c>
      <c r="AO145" s="1" t="n">
        <f aca="false">FALSE()</f>
        <v>0</v>
      </c>
      <c r="AP145" s="1" t="n">
        <f aca="false">IF(O145 = 2,COUNTIF(Q145:AJ145,"TRUE"),-1)</f>
        <v>14</v>
      </c>
    </row>
    <row r="146" customFormat="false" ht="15.75" hidden="false" customHeight="false" outlineLevel="0" collapsed="false">
      <c r="A146" s="8" t="e">
        <f aca="true">INDIRECT("'Ответы на форму (1)'!A"&amp;$N146,TRUE())</f>
        <v>#REF!</v>
      </c>
      <c r="B146" s="0" t="e">
        <f aca="true">INDIRECT("'Ответы на форму (1)'!B"&amp;$N146,TRUE())</f>
        <v>#REF!</v>
      </c>
      <c r="C146" s="0" t="e">
        <f aca="true">INDIRECT("'Ответы на форму (1)'!C"&amp;$N146,TRUE())</f>
        <v>#REF!</v>
      </c>
      <c r="D146" s="0" t="e">
        <f aca="true">INDIRECT("'Ответы на форму (1)'!D"&amp;$N146,TRUE())</f>
        <v>#REF!</v>
      </c>
      <c r="E146" s="0" t="n">
        <f aca="false">IFERROR(__xludf.dummyfunction("iferror(VALUE(REGEXEXTRACT(TEXT(INDIRECT(""'Ответы на форму (1)'!E""&amp;$N146,TRUE),""####""),""[0-9]+"")),IF(IFERROR(SEARCH(""моцро"",INDIRECT(""'Ответы на форму (1)'!E""&amp;$N146,TRUE)),-1) &gt;= 0,117,INDIRECT(""'Ответы на форму (1)'!E""&amp;$N146,TRUE)))"),117)</f>
        <v>117</v>
      </c>
      <c r="F146" s="0" t="e">
        <f aca="true">INDIRECT("'Ответы на форму (1)'!F"&amp;$N146,TRUE())</f>
        <v>#REF!</v>
      </c>
      <c r="G146" s="9" t="e">
        <f aca="true">IFERROR(MID(INDIRECT("'Ответы на форму (1)'!G"&amp;$N146,TRUE()),SEARCH("vk.com",INDIRECT("'Ответы на форму (1)'!G"&amp;$N146,TRUE())),LEN(INDIRECT("'Ответы на форму (1)'!G"&amp;$N146,TRUE()))),INDIRECT("'Ответы на форму (1)'!G"&amp;$N146,TRUE()))</f>
        <v>#REF!</v>
      </c>
      <c r="H146" s="0" t="e">
        <f aca="true">INDIRECT("'Ответы на форму (1)'!H"&amp;$N146,TRUE())</f>
        <v>#REF!</v>
      </c>
      <c r="I146" s="12" t="e">
        <f aca="true">INDIRECT("'Ответы на форму (1)'!I"&amp;$N146,TRUE())</f>
        <v>#REF!</v>
      </c>
      <c r="J146" s="12" t="e">
        <f aca="true">INDIRECT("'Ответы на форму (1)'!J"&amp;$N146,TRUE())</f>
        <v>#REF!</v>
      </c>
      <c r="K146" s="12" t="e">
        <f aca="true">INDIRECT("'Ответы на форму (1)'!K"&amp;$N146,TRUE())</f>
        <v>#REF!</v>
      </c>
      <c r="L146" s="12" t="e">
        <f aca="true">INDIRECT("'Ответы на форму (1)'!L"&amp;$N146,TRUE())</f>
        <v>#REF!</v>
      </c>
      <c r="M146" s="0" t="e">
        <f aca="false" t="array" ref="M146:M146">IF(B146 &lt;&gt; "",IF(COUNTIF(concat(TRIM('Список прошлого года'!$B$2:$B$200),TRIM('Список прошлого года'!$C$2:$C$200)),concat(TRIM(B146),TRIM(C146))) &gt; 0,"Да","Нет"),"")</f>
        <v>#REF!</v>
      </c>
      <c r="N146" s="1" t="n">
        <v>168</v>
      </c>
      <c r="O146" s="1" t="n">
        <v>-1</v>
      </c>
      <c r="Q146" s="1" t="n">
        <f aca="false">FALSE()</f>
        <v>0</v>
      </c>
      <c r="R146" s="1" t="n">
        <f aca="false">FALSE()</f>
        <v>0</v>
      </c>
      <c r="S146" s="1" t="n">
        <f aca="false">FALSE()</f>
        <v>0</v>
      </c>
      <c r="T146" s="1" t="n">
        <f aca="false">FALSE()</f>
        <v>0</v>
      </c>
      <c r="U146" s="1" t="n">
        <f aca="false">FALSE()</f>
        <v>0</v>
      </c>
      <c r="V146" s="1" t="n">
        <f aca="false">FALSE()</f>
        <v>0</v>
      </c>
      <c r="W146" s="1" t="n">
        <f aca="false">FALSE()</f>
        <v>0</v>
      </c>
      <c r="X146" s="1" t="n">
        <f aca="false">FALSE()</f>
        <v>0</v>
      </c>
      <c r="Y146" s="1" t="n">
        <f aca="false">FALSE()</f>
        <v>0</v>
      </c>
      <c r="Z146" s="1" t="n">
        <f aca="false">FALSE()</f>
        <v>0</v>
      </c>
      <c r="AA146" s="1" t="n">
        <f aca="false">FALSE()</f>
        <v>0</v>
      </c>
      <c r="AB146" s="1" t="n">
        <f aca="false">FALSE()</f>
        <v>0</v>
      </c>
      <c r="AC146" s="1" t="n">
        <f aca="false">FALSE()</f>
        <v>0</v>
      </c>
      <c r="AD146" s="1" t="n">
        <f aca="false">FALSE()</f>
        <v>0</v>
      </c>
      <c r="AE146" s="1" t="n">
        <f aca="false">FALSE()</f>
        <v>0</v>
      </c>
      <c r="AF146" s="1" t="n">
        <f aca="false">FALSE()</f>
        <v>0</v>
      </c>
      <c r="AG146" s="1" t="n">
        <f aca="false">FALSE()</f>
        <v>0</v>
      </c>
      <c r="AH146" s="1" t="n">
        <f aca="false">FALSE()</f>
        <v>0</v>
      </c>
      <c r="AI146" s="1" t="n">
        <f aca="false">FALSE()</f>
        <v>0</v>
      </c>
      <c r="AJ146" s="1" t="n">
        <f aca="false">FALSE()</f>
        <v>0</v>
      </c>
      <c r="AK146" s="1" t="n">
        <f aca="false" t="array" ref="AK146:AK146">SUM(IF(Q146:U146,1,0))</f>
        <v>0</v>
      </c>
      <c r="AL146" s="14" t="n">
        <f aca="false" t="array" ref="AL146:AL146">SUM(IF(V146:Z146,1,0))</f>
        <v>0</v>
      </c>
      <c r="AM146" s="14" t="n">
        <f aca="false" t="array" ref="AM146:AM146">SUM(IF(AA146:AE146,1,0))</f>
        <v>0</v>
      </c>
      <c r="AN146" s="14" t="n">
        <f aca="false" t="array" ref="AN146:AN146">SUM(IF(AF146:AJ146,1,0))</f>
        <v>0</v>
      </c>
      <c r="AO146" s="1" t="n">
        <f aca="false">FALSE()</f>
        <v>0</v>
      </c>
      <c r="AP146" s="1" t="n">
        <f aca="false">IF(O146 = 2,COUNTIF(Q146:AJ146,"TRUE"),-1)</f>
        <v>-1</v>
      </c>
    </row>
    <row r="147" customFormat="false" ht="15.75" hidden="false" customHeight="false" outlineLevel="0" collapsed="false">
      <c r="A147" s="8" t="e">
        <f aca="true">INDIRECT("'Ответы на форму (1)'!A"&amp;$N147,TRUE())</f>
        <v>#REF!</v>
      </c>
      <c r="B147" s="0" t="e">
        <f aca="true">INDIRECT("'Ответы на форму (1)'!B"&amp;$N147,TRUE())</f>
        <v>#REF!</v>
      </c>
      <c r="C147" s="0" t="e">
        <f aca="true">INDIRECT("'Ответы на форму (1)'!C"&amp;$N147,TRUE())</f>
        <v>#REF!</v>
      </c>
      <c r="D147" s="0" t="e">
        <f aca="true">INDIRECT("'Ответы на форму (1)'!D"&amp;$N147,TRUE())</f>
        <v>#REF!</v>
      </c>
      <c r="E147" s="0" t="n">
        <f aca="false">IFERROR(__xludf.dummyfunction("iferror(VALUE(REGEXEXTRACT(TEXT(INDIRECT(""'Ответы на форму (1)'!E""&amp;$N147,TRUE),""####""),""[0-9]+"")),IF(IFERROR(SEARCH(""моцро"",INDIRECT(""'Ответы на форму (1)'!E""&amp;$N147,TRUE)),-1) &gt;= 0,117,INDIRECT(""'Ответы на форму (1)'!E""&amp;$N147,TRUE)))"),117)</f>
        <v>117</v>
      </c>
      <c r="F147" s="0" t="e">
        <f aca="true">INDIRECT("'Ответы на форму (1)'!F"&amp;$N147,TRUE())</f>
        <v>#REF!</v>
      </c>
      <c r="G147" s="9" t="e">
        <f aca="true">IFERROR(MID(INDIRECT("'Ответы на форму (1)'!G"&amp;$N147,TRUE()),SEARCH("vk.com",INDIRECT("'Ответы на форму (1)'!G"&amp;$N147,TRUE())),LEN(INDIRECT("'Ответы на форму (1)'!G"&amp;$N147,TRUE()))),INDIRECT("'Ответы на форму (1)'!G"&amp;$N147,TRUE()))</f>
        <v>#REF!</v>
      </c>
      <c r="H147" s="0" t="e">
        <f aca="true">INDIRECT("'Ответы на форму (1)'!H"&amp;$N147,TRUE())</f>
        <v>#REF!</v>
      </c>
      <c r="I147" s="12" t="e">
        <f aca="true">INDIRECT("'Ответы на форму (1)'!I"&amp;$N147,TRUE())</f>
        <v>#REF!</v>
      </c>
      <c r="J147" s="12" t="e">
        <f aca="true">INDIRECT("'Ответы на форму (1)'!J"&amp;$N147,TRUE())</f>
        <v>#REF!</v>
      </c>
      <c r="K147" s="12" t="e">
        <f aca="true">INDIRECT("'Ответы на форму (1)'!K"&amp;$N147,TRUE())</f>
        <v>#REF!</v>
      </c>
      <c r="L147" s="12" t="e">
        <f aca="true">INDIRECT("'Ответы на форму (1)'!L"&amp;$N147,TRUE())</f>
        <v>#REF!</v>
      </c>
      <c r="M147" s="0" t="e">
        <f aca="false" t="array" ref="M147:M147">IF(B147 &lt;&gt; "",IF(COUNTIF(concat(TRIM('Список прошлого года'!$B$2:$B$200),TRIM('Список прошлого года'!$C$2:$C$200)),concat(TRIM(B147),TRIM(C147))) &gt; 0,"Да","Нет"),"")</f>
        <v>#REF!</v>
      </c>
      <c r="N147" s="1" t="n">
        <v>169</v>
      </c>
      <c r="O147" s="1" t="n">
        <v>2</v>
      </c>
      <c r="Q147" s="1" t="n">
        <f aca="false">FALSE()</f>
        <v>0</v>
      </c>
      <c r="R147" s="1" t="n">
        <f aca="false">FALSE()</f>
        <v>0</v>
      </c>
      <c r="S147" s="1" t="n">
        <f aca="false">TRUE()</f>
        <v>1</v>
      </c>
      <c r="T147" s="1" t="n">
        <f aca="false">TRUE()</f>
        <v>1</v>
      </c>
      <c r="U147" s="1" t="n">
        <f aca="false">TRUE()</f>
        <v>1</v>
      </c>
      <c r="V147" s="1" t="n">
        <f aca="false">FALSE()</f>
        <v>0</v>
      </c>
      <c r="W147" s="1" t="n">
        <f aca="false">FALSE()</f>
        <v>0</v>
      </c>
      <c r="X147" s="1" t="n">
        <f aca="false">TRUE()</f>
        <v>1</v>
      </c>
      <c r="Y147" s="1" t="n">
        <f aca="false">TRUE()</f>
        <v>1</v>
      </c>
      <c r="Z147" s="1" t="n">
        <f aca="false">FALSE()</f>
        <v>0</v>
      </c>
      <c r="AA147" s="1" t="n">
        <f aca="false">FALSE()</f>
        <v>0</v>
      </c>
      <c r="AB147" s="1" t="n">
        <f aca="false">FALSE()</f>
        <v>0</v>
      </c>
      <c r="AC147" s="1" t="n">
        <f aca="false">FALSE()</f>
        <v>0</v>
      </c>
      <c r="AD147" s="1" t="n">
        <f aca="false">FALSE()</f>
        <v>0</v>
      </c>
      <c r="AE147" s="1" t="n">
        <f aca="false">FALSE()</f>
        <v>0</v>
      </c>
      <c r="AF147" s="1" t="n">
        <f aca="false">FALSE()</f>
        <v>0</v>
      </c>
      <c r="AG147" s="1" t="n">
        <f aca="false">FALSE()</f>
        <v>0</v>
      </c>
      <c r="AH147" s="1" t="n">
        <f aca="false">FALSE()</f>
        <v>0</v>
      </c>
      <c r="AI147" s="1" t="n">
        <f aca="false">FALSE()</f>
        <v>0</v>
      </c>
      <c r="AJ147" s="1" t="n">
        <f aca="false">FALSE()</f>
        <v>0</v>
      </c>
      <c r="AK147" s="1" t="n">
        <f aca="false" t="array" ref="AK147:AK147">SUM(IF(Q147:U147,1,0))</f>
        <v>3</v>
      </c>
      <c r="AL147" s="14" t="n">
        <f aca="false" t="array" ref="AL147:AL147">SUM(IF(V147:Z147,1,0))</f>
        <v>2</v>
      </c>
      <c r="AM147" s="14" t="n">
        <f aca="false" t="array" ref="AM147:AM147">SUM(IF(AA147:AE147,1,0))</f>
        <v>0</v>
      </c>
      <c r="AN147" s="14" t="n">
        <f aca="false" t="array" ref="AN147:AN147">SUM(IF(AF147:AJ147,1,0))</f>
        <v>0</v>
      </c>
      <c r="AO147" s="1" t="n">
        <f aca="false">FALSE()</f>
        <v>0</v>
      </c>
      <c r="AP147" s="1" t="n">
        <f aca="false">IF(O147 = 2,COUNTIF(Q147:AJ147,"TRUE"),-1)</f>
        <v>5</v>
      </c>
    </row>
    <row r="148" customFormat="false" ht="15.75" hidden="false" customHeight="false" outlineLevel="0" collapsed="false">
      <c r="A148" s="8" t="e">
        <f aca="true">INDIRECT("'Ответы на форму (1)'!A"&amp;$N148,TRUE())</f>
        <v>#REF!</v>
      </c>
      <c r="B148" s="0" t="e">
        <f aca="true">INDIRECT("'Ответы на форму (1)'!B"&amp;$N148,TRUE())</f>
        <v>#REF!</v>
      </c>
      <c r="C148" s="0" t="e">
        <f aca="true">INDIRECT("'Ответы на форму (1)'!C"&amp;$N148,TRUE())</f>
        <v>#REF!</v>
      </c>
      <c r="D148" s="0" t="e">
        <f aca="true">INDIRECT("'Ответы на форму (1)'!D"&amp;$N148,TRUE())</f>
        <v>#REF!</v>
      </c>
      <c r="E148" s="0" t="n">
        <f aca="false">IFERROR(__xludf.dummyfunction("iferror(VALUE(REGEXEXTRACT(TEXT(INDIRECT(""'Ответы на форму (1)'!E""&amp;$N148,TRUE),""####""),""[0-9]+"")),IF(IFERROR(SEARCH(""моцро"",INDIRECT(""'Ответы на форму (1)'!E""&amp;$N148,TRUE)),-1) &gt;= 0,117,INDIRECT(""'Ответы на форму (1)'!E""&amp;$N148,TRUE)))"),139)</f>
        <v>139</v>
      </c>
      <c r="F148" s="0" t="e">
        <f aca="true">INDIRECT("'Ответы на форму (1)'!F"&amp;$N148,TRUE())</f>
        <v>#REF!</v>
      </c>
      <c r="G148" s="9" t="e">
        <f aca="true">IFERROR(MID(INDIRECT("'Ответы на форму (1)'!G"&amp;$N148,TRUE()),SEARCH("vk.com",INDIRECT("'Ответы на форму (1)'!G"&amp;$N148,TRUE())),LEN(INDIRECT("'Ответы на форму (1)'!G"&amp;$N148,TRUE()))),INDIRECT("'Ответы на форму (1)'!G"&amp;$N148,TRUE()))</f>
        <v>#REF!</v>
      </c>
      <c r="H148" s="0" t="e">
        <f aca="true">INDIRECT("'Ответы на форму (1)'!H"&amp;$N148,TRUE())</f>
        <v>#REF!</v>
      </c>
      <c r="I148" s="12" t="e">
        <f aca="true">INDIRECT("'Ответы на форму (1)'!I"&amp;$N148,TRUE())</f>
        <v>#REF!</v>
      </c>
      <c r="J148" s="12" t="e">
        <f aca="true">INDIRECT("'Ответы на форму (1)'!J"&amp;$N148,TRUE())</f>
        <v>#REF!</v>
      </c>
      <c r="K148" s="12" t="e">
        <f aca="true">INDIRECT("'Ответы на форму (1)'!K"&amp;$N148,TRUE())</f>
        <v>#REF!</v>
      </c>
      <c r="L148" s="12" t="e">
        <f aca="true">INDIRECT("'Ответы на форму (1)'!L"&amp;$N148,TRUE())</f>
        <v>#REF!</v>
      </c>
      <c r="M148" s="0" t="e">
        <f aca="false" t="array" ref="M148:M148">IF(B148 &lt;&gt; "",IF(COUNTIF(concat(TRIM('Список прошлого года'!$B$2:$B$200),TRIM('Список прошлого года'!$C$2:$C$200)),concat(TRIM(B148),TRIM(C148))) &gt; 0,"Да","Нет"),"")</f>
        <v>#REF!</v>
      </c>
      <c r="N148" s="1" t="n">
        <v>170</v>
      </c>
      <c r="O148" s="1" t="n">
        <v>2</v>
      </c>
      <c r="Q148" s="1" t="n">
        <f aca="false">TRUE()</f>
        <v>1</v>
      </c>
      <c r="R148" s="1" t="n">
        <f aca="false">TRUE()</f>
        <v>1</v>
      </c>
      <c r="S148" s="1" t="n">
        <f aca="false">TRUE()</f>
        <v>1</v>
      </c>
      <c r="T148" s="1" t="n">
        <f aca="false">TRUE()</f>
        <v>1</v>
      </c>
      <c r="U148" s="1" t="n">
        <f aca="false">TRUE()</f>
        <v>1</v>
      </c>
      <c r="V148" s="1" t="n">
        <f aca="false">TRUE()</f>
        <v>1</v>
      </c>
      <c r="W148" s="1" t="n">
        <f aca="false">TRUE()</f>
        <v>1</v>
      </c>
      <c r="X148" s="1" t="n">
        <f aca="false">TRUE()</f>
        <v>1</v>
      </c>
      <c r="Y148" s="1" t="n">
        <f aca="false">TRUE()</f>
        <v>1</v>
      </c>
      <c r="Z148" s="1" t="n">
        <f aca="false">TRUE()</f>
        <v>1</v>
      </c>
      <c r="AA148" s="1" t="n">
        <f aca="false">TRUE()</f>
        <v>1</v>
      </c>
      <c r="AB148" s="1" t="n">
        <f aca="false">TRUE()</f>
        <v>1</v>
      </c>
      <c r="AC148" s="1" t="n">
        <f aca="false">TRUE()</f>
        <v>1</v>
      </c>
      <c r="AD148" s="1" t="n">
        <f aca="false">TRUE()</f>
        <v>1</v>
      </c>
      <c r="AE148" s="1" t="n">
        <f aca="false">TRUE()</f>
        <v>1</v>
      </c>
      <c r="AF148" s="1" t="n">
        <f aca="false">TRUE()</f>
        <v>1</v>
      </c>
      <c r="AG148" s="1" t="n">
        <f aca="false">FALSE()</f>
        <v>0</v>
      </c>
      <c r="AH148" s="1" t="n">
        <f aca="false">TRUE()</f>
        <v>1</v>
      </c>
      <c r="AI148" s="1" t="n">
        <f aca="false">TRUE()</f>
        <v>1</v>
      </c>
      <c r="AJ148" s="1" t="n">
        <f aca="false">TRUE()</f>
        <v>1</v>
      </c>
      <c r="AK148" s="1" t="n">
        <f aca="false" t="array" ref="AK148:AK148">SUM(IF(Q148:U148,1,0))</f>
        <v>5</v>
      </c>
      <c r="AL148" s="14" t="n">
        <f aca="false" t="array" ref="AL148:AL148">SUM(IF(V148:Z148,1,0))</f>
        <v>5</v>
      </c>
      <c r="AM148" s="14" t="n">
        <f aca="false" t="array" ref="AM148:AM148">SUM(IF(AA148:AE148,1,0))</f>
        <v>5</v>
      </c>
      <c r="AN148" s="14" t="n">
        <f aca="false" t="array" ref="AN148:AN148">SUM(IF(AF148:AJ148,1,0))</f>
        <v>4</v>
      </c>
      <c r="AO148" s="1" t="n">
        <f aca="false">FALSE()</f>
        <v>0</v>
      </c>
      <c r="AP148" s="1" t="n">
        <f aca="false">IF(O148 = 2,COUNTIF(Q148:AJ148,"TRUE"),-1)</f>
        <v>19</v>
      </c>
    </row>
    <row r="149" customFormat="false" ht="15.75" hidden="false" customHeight="false" outlineLevel="0" collapsed="false">
      <c r="A149" s="8" t="e">
        <f aca="true">INDIRECT("'Ответы на форму (1)'!A"&amp;$N149,TRUE())</f>
        <v>#REF!</v>
      </c>
      <c r="B149" s="0" t="e">
        <f aca="true">INDIRECT("'Ответы на форму (1)'!B"&amp;$N149,TRUE())</f>
        <v>#REF!</v>
      </c>
      <c r="C149" s="0" t="e">
        <f aca="true">INDIRECT("'Ответы на форму (1)'!C"&amp;$N149,TRUE())</f>
        <v>#REF!</v>
      </c>
      <c r="D149" s="0" t="e">
        <f aca="true">INDIRECT("'Ответы на форму (1)'!D"&amp;$N149,TRUE())</f>
        <v>#REF!</v>
      </c>
      <c r="E149" s="0" t="n">
        <f aca="false">IFERROR(__xludf.dummyfunction("iferror(VALUE(REGEXEXTRACT(TEXT(INDIRECT(""'Ответы на форму (1)'!E""&amp;$N149,TRUE),""####""),""[0-9]+"")),IF(IFERROR(SEARCH(""моцро"",INDIRECT(""'Ответы на форму (1)'!E""&amp;$N149,TRUE)),-1) &gt;= 0,117,INDIRECT(""'Ответы на форму (1)'!E""&amp;$N149,TRUE)))"),7)</f>
        <v>7</v>
      </c>
      <c r="F149" s="0" t="e">
        <f aca="true">INDIRECT("'Ответы на форму (1)'!F"&amp;$N149,TRUE())</f>
        <v>#REF!</v>
      </c>
      <c r="G149" s="0" t="e">
        <f aca="true">IFERROR(MID(INDIRECT("'Ответы на форму (1)'!G"&amp;$N149,TRUE()),SEARCH("vk.com",INDIRECT("'Ответы на форму (1)'!G"&amp;$N149,TRUE())),LEN(INDIRECT("'Ответы на форму (1)'!G"&amp;$N149,TRUE()))),INDIRECT("'Ответы на форму (1)'!G"&amp;$N149,TRUE()))</f>
        <v>#REF!</v>
      </c>
      <c r="H149" s="0" t="e">
        <f aca="true">INDIRECT("'Ответы на форму (1)'!H"&amp;$N149,TRUE())</f>
        <v>#REF!</v>
      </c>
      <c r="I149" s="12" t="e">
        <f aca="true">INDIRECT("'Ответы на форму (1)'!I"&amp;$N149,TRUE())</f>
        <v>#REF!</v>
      </c>
      <c r="J149" s="12" t="e">
        <f aca="true">INDIRECT("'Ответы на форму (1)'!J"&amp;$N149,TRUE())</f>
        <v>#REF!</v>
      </c>
      <c r="K149" s="12" t="e">
        <f aca="true">INDIRECT("'Ответы на форму (1)'!K"&amp;$N149,TRUE())</f>
        <v>#REF!</v>
      </c>
      <c r="L149" s="12" t="e">
        <f aca="true">INDIRECT("'Ответы на форму (1)'!L"&amp;$N149,TRUE())</f>
        <v>#REF!</v>
      </c>
      <c r="M149" s="0" t="e">
        <f aca="false" t="array" ref="M149:M149">IF(B149 &lt;&gt; "",IF(COUNTIF(concat(TRIM('Список прошлого года'!$B$2:$B$200),TRIM('Список прошлого года'!$C$2:$C$200)),concat(TRIM(B149),TRIM(C149))) &gt; 0,"Да","Нет"),"")</f>
        <v>#REF!</v>
      </c>
      <c r="N149" s="1" t="n">
        <v>171</v>
      </c>
      <c r="O149" s="1" t="n">
        <v>1</v>
      </c>
      <c r="Q149" s="1" t="n">
        <f aca="false">TRUE()</f>
        <v>1</v>
      </c>
      <c r="R149" s="1" t="n">
        <f aca="false">FALSE()</f>
        <v>0</v>
      </c>
      <c r="S149" s="1" t="n">
        <f aca="false">FALSE()</f>
        <v>0</v>
      </c>
      <c r="T149" s="1" t="n">
        <f aca="false">FALSE()</f>
        <v>0</v>
      </c>
      <c r="U149" s="1" t="n">
        <f aca="false">FALSE()</f>
        <v>0</v>
      </c>
      <c r="V149" s="1" t="n">
        <f aca="false">TRUE()</f>
        <v>1</v>
      </c>
      <c r="W149" s="1" t="n">
        <f aca="false">FALSE()</f>
        <v>0</v>
      </c>
      <c r="X149" s="1" t="n">
        <f aca="false">FALSE()</f>
        <v>0</v>
      </c>
      <c r="Y149" s="1" t="n">
        <f aca="false">FALSE()</f>
        <v>0</v>
      </c>
      <c r="Z149" s="1" t="n">
        <f aca="false">FALSE()</f>
        <v>0</v>
      </c>
      <c r="AA149" s="1" t="n">
        <f aca="false">FALSE()</f>
        <v>0</v>
      </c>
      <c r="AB149" s="1" t="n">
        <f aca="false">FALSE()</f>
        <v>0</v>
      </c>
      <c r="AC149" s="1" t="n">
        <f aca="false">FALSE()</f>
        <v>0</v>
      </c>
      <c r="AD149" s="1" t="n">
        <f aca="false">FALSE()</f>
        <v>0</v>
      </c>
      <c r="AE149" s="1" t="n">
        <f aca="false">FALSE()</f>
        <v>0</v>
      </c>
      <c r="AF149" s="1" t="n">
        <f aca="false">FALSE()</f>
        <v>0</v>
      </c>
      <c r="AG149" s="1" t="n">
        <f aca="false">FALSE()</f>
        <v>0</v>
      </c>
      <c r="AH149" s="1" t="n">
        <f aca="false">FALSE()</f>
        <v>0</v>
      </c>
      <c r="AI149" s="1" t="n">
        <f aca="false">FALSE()</f>
        <v>0</v>
      </c>
      <c r="AJ149" s="1" t="n">
        <f aca="false">FALSE()</f>
        <v>0</v>
      </c>
      <c r="AK149" s="1" t="n">
        <f aca="false" t="array" ref="AK149:AK149">SUM(IF(Q149:U149,1,0))</f>
        <v>1</v>
      </c>
      <c r="AL149" s="14" t="n">
        <f aca="false" t="array" ref="AL149:AL149">SUM(IF(V149:Z149,1,0))</f>
        <v>1</v>
      </c>
      <c r="AM149" s="14" t="n">
        <f aca="false" t="array" ref="AM149:AM149">SUM(IF(AA149:AE149,1,0))</f>
        <v>0</v>
      </c>
      <c r="AN149" s="14" t="n">
        <f aca="false" t="array" ref="AN149:AN149">SUM(IF(AF149:AJ149,1,0))</f>
        <v>0</v>
      </c>
      <c r="AO149" s="1" t="n">
        <f aca="false">FALSE()</f>
        <v>0</v>
      </c>
      <c r="AP149" s="1" t="n">
        <f aca="false">IF(O149 = 2,COUNTIF(Q149:AJ149,"TRUE"),-1)</f>
        <v>-1</v>
      </c>
    </row>
    <row r="150" customFormat="false" ht="15.75" hidden="false" customHeight="false" outlineLevel="0" collapsed="false">
      <c r="A150" s="8" t="e">
        <f aca="true">INDIRECT("'Ответы на форму (1)'!A"&amp;$N150,TRUE())</f>
        <v>#REF!</v>
      </c>
      <c r="B150" s="0" t="e">
        <f aca="true">INDIRECT("'Ответы на форму (1)'!B"&amp;$N150,TRUE())</f>
        <v>#REF!</v>
      </c>
      <c r="C150" s="0" t="e">
        <f aca="true">INDIRECT("'Ответы на форму (1)'!C"&amp;$N150,TRUE())</f>
        <v>#REF!</v>
      </c>
      <c r="D150" s="0" t="e">
        <f aca="true">INDIRECT("'Ответы на форму (1)'!D"&amp;$N150,TRUE())</f>
        <v>#REF!</v>
      </c>
      <c r="E150" s="0" t="n">
        <f aca="false">IFERROR(__xludf.dummyfunction("iferror(VALUE(REGEXEXTRACT(TEXT(INDIRECT(""'Ответы на форму (1)'!E""&amp;$N150,TRUE),""####""),""[0-9]+"")),IF(IFERROR(SEARCH(""моцро"",INDIRECT(""'Ответы на форму (1)'!E""&amp;$N150,TRUE)),-1) &gt;= 0,117,INDIRECT(""'Ответы на форму (1)'!E""&amp;$N150,TRUE)))"),117)</f>
        <v>117</v>
      </c>
      <c r="F150" s="0" t="e">
        <f aca="true">INDIRECT("'Ответы на форму (1)'!F"&amp;$N150,TRUE())</f>
        <v>#REF!</v>
      </c>
      <c r="G150" s="9" t="e">
        <f aca="true">IFERROR(MID(INDIRECT("'Ответы на форму (1)'!G"&amp;$N150,TRUE()),SEARCH("vk.com",INDIRECT("'Ответы на форму (1)'!G"&amp;$N150,TRUE())),LEN(INDIRECT("'Ответы на форму (1)'!G"&amp;$N150,TRUE()))),INDIRECT("'Ответы на форму (1)'!G"&amp;$N150,TRUE()))</f>
        <v>#REF!</v>
      </c>
      <c r="H150" s="0" t="e">
        <f aca="true">INDIRECT("'Ответы на форму (1)'!H"&amp;$N150,TRUE())</f>
        <v>#REF!</v>
      </c>
      <c r="I150" s="12" t="e">
        <f aca="true">INDIRECT("'Ответы на форму (1)'!I"&amp;$N150,TRUE())</f>
        <v>#REF!</v>
      </c>
      <c r="J150" s="12" t="e">
        <f aca="true">INDIRECT("'Ответы на форму (1)'!J"&amp;$N150,TRUE())</f>
        <v>#REF!</v>
      </c>
      <c r="K150" s="12" t="e">
        <f aca="true">INDIRECT("'Ответы на форму (1)'!K"&amp;$N150,TRUE())</f>
        <v>#REF!</v>
      </c>
      <c r="L150" s="12" t="e">
        <f aca="true">INDIRECT("'Ответы на форму (1)'!L"&amp;$N150,TRUE())</f>
        <v>#REF!</v>
      </c>
      <c r="M150" s="0" t="e">
        <f aca="false" t="array" ref="M150:M150">IF(B150 &lt;&gt; "",IF(COUNTIF(concat(TRIM('Список прошлого года'!$B$2:$B$200),TRIM('Список прошлого года'!$C$2:$C$200)),concat(TRIM(B150),TRIM(C150))) &gt; 0,"Да","Нет"),"")</f>
        <v>#REF!</v>
      </c>
      <c r="N150" s="1" t="n">
        <v>172</v>
      </c>
      <c r="O150" s="1" t="n">
        <v>2</v>
      </c>
      <c r="Q150" s="1" t="n">
        <f aca="false">TRUE()</f>
        <v>1</v>
      </c>
      <c r="R150" s="1" t="n">
        <f aca="false">TRUE()</f>
        <v>1</v>
      </c>
      <c r="S150" s="1" t="n">
        <f aca="false">TRUE()</f>
        <v>1</v>
      </c>
      <c r="T150" s="1" t="n">
        <f aca="false">TRUE()</f>
        <v>1</v>
      </c>
      <c r="U150" s="1" t="n">
        <f aca="false">TRUE()</f>
        <v>1</v>
      </c>
      <c r="V150" s="1" t="n">
        <f aca="false">TRUE()</f>
        <v>1</v>
      </c>
      <c r="W150" s="1" t="n">
        <f aca="false">TRUE()</f>
        <v>1</v>
      </c>
      <c r="X150" s="1" t="n">
        <f aca="false">TRUE()</f>
        <v>1</v>
      </c>
      <c r="Y150" s="1" t="n">
        <f aca="false">TRUE()</f>
        <v>1</v>
      </c>
      <c r="Z150" s="1" t="n">
        <f aca="false">TRUE()</f>
        <v>1</v>
      </c>
      <c r="AA150" s="1" t="n">
        <f aca="false">TRUE()</f>
        <v>1</v>
      </c>
      <c r="AB150" s="1" t="n">
        <f aca="false">TRUE()</f>
        <v>1</v>
      </c>
      <c r="AC150" s="1" t="n">
        <f aca="false">TRUE()</f>
        <v>1</v>
      </c>
      <c r="AD150" s="1" t="n">
        <f aca="false">TRUE()</f>
        <v>1</v>
      </c>
      <c r="AE150" s="1" t="n">
        <f aca="false">TRUE()</f>
        <v>1</v>
      </c>
      <c r="AF150" s="1" t="n">
        <f aca="false">TRUE()</f>
        <v>1</v>
      </c>
      <c r="AG150" s="1" t="n">
        <f aca="false">FALSE()</f>
        <v>0</v>
      </c>
      <c r="AH150" s="1" t="n">
        <f aca="false">TRUE()</f>
        <v>1</v>
      </c>
      <c r="AI150" s="1" t="n">
        <f aca="false">FALSE()</f>
        <v>0</v>
      </c>
      <c r="AJ150" s="1" t="n">
        <f aca="false">FALSE()</f>
        <v>0</v>
      </c>
      <c r="AK150" s="1" t="n">
        <f aca="false" t="array" ref="AK150:AK150">SUM(IF(Q150:U150,1,0))</f>
        <v>5</v>
      </c>
      <c r="AL150" s="14" t="n">
        <f aca="false" t="array" ref="AL150:AL150">SUM(IF(V150:Z150,1,0))</f>
        <v>5</v>
      </c>
      <c r="AM150" s="14" t="n">
        <f aca="false" t="array" ref="AM150:AM150">SUM(IF(AA150:AE150,1,0))</f>
        <v>5</v>
      </c>
      <c r="AN150" s="14" t="n">
        <f aca="false" t="array" ref="AN150:AN150">SUM(IF(AF150:AJ150,1,0))</f>
        <v>2</v>
      </c>
      <c r="AO150" s="1" t="n">
        <f aca="false">FALSE()</f>
        <v>0</v>
      </c>
      <c r="AP150" s="1" t="n">
        <f aca="false">IF(O150 = 2,COUNTIF(Q150:AJ150,"TRUE"),-1)</f>
        <v>17</v>
      </c>
    </row>
    <row r="151" customFormat="false" ht="15.75" hidden="false" customHeight="false" outlineLevel="0" collapsed="false">
      <c r="A151" s="8" t="e">
        <f aca="true">INDIRECT("'Ответы на форму (1)'!A"&amp;$N151,TRUE())</f>
        <v>#REF!</v>
      </c>
      <c r="B151" s="0" t="e">
        <f aca="true">INDIRECT("'Ответы на форму (1)'!B"&amp;$N151,TRUE())</f>
        <v>#REF!</v>
      </c>
      <c r="C151" s="0" t="e">
        <f aca="true">INDIRECT("'Ответы на форму (1)'!C"&amp;$N151,TRUE())</f>
        <v>#REF!</v>
      </c>
      <c r="D151" s="0" t="e">
        <f aca="true">INDIRECT("'Ответы на форму (1)'!D"&amp;$N151,TRUE())</f>
        <v>#REF!</v>
      </c>
      <c r="E151" s="0" t="n">
        <f aca="false">IFERROR(__xludf.dummyfunction("iferror(VALUE(REGEXEXTRACT(TEXT(INDIRECT(""'Ответы на форму (1)'!E""&amp;$N151,TRUE),""####""),""[0-9]+"")),IF(IFERROR(SEARCH(""моцро"",INDIRECT(""'Ответы на форму (1)'!E""&amp;$N151,TRUE)),-1) &gt;= 0,117,INDIRECT(""'Ответы на форму (1)'!E""&amp;$N151,TRUE)))"),117)</f>
        <v>117</v>
      </c>
      <c r="F151" s="0" t="e">
        <f aca="true">INDIRECT("'Ответы на форму (1)'!F"&amp;$N151,TRUE())</f>
        <v>#REF!</v>
      </c>
      <c r="G151" s="9" t="e">
        <f aca="true">IFERROR(MID(INDIRECT("'Ответы на форму (1)'!G"&amp;$N151,TRUE()),SEARCH("vk.com",INDIRECT("'Ответы на форму (1)'!G"&amp;$N151,TRUE())),LEN(INDIRECT("'Ответы на форму (1)'!G"&amp;$N151,TRUE()))),INDIRECT("'Ответы на форму (1)'!G"&amp;$N151,TRUE()))</f>
        <v>#REF!</v>
      </c>
      <c r="H151" s="0" t="e">
        <f aca="true">INDIRECT("'Ответы на форму (1)'!H"&amp;$N151,TRUE())</f>
        <v>#REF!</v>
      </c>
      <c r="I151" s="12" t="e">
        <f aca="true">INDIRECT("'Ответы на форму (1)'!I"&amp;$N151,TRUE())</f>
        <v>#REF!</v>
      </c>
      <c r="J151" s="12" t="e">
        <f aca="true">INDIRECT("'Ответы на форму (1)'!J"&amp;$N151,TRUE())</f>
        <v>#REF!</v>
      </c>
      <c r="K151" s="12" t="e">
        <f aca="true">INDIRECT("'Ответы на форму (1)'!K"&amp;$N151,TRUE())</f>
        <v>#REF!</v>
      </c>
      <c r="L151" s="12" t="e">
        <f aca="true">INDIRECT("'Ответы на форму (1)'!L"&amp;$N151,TRUE())</f>
        <v>#REF!</v>
      </c>
      <c r="M151" s="0" t="e">
        <f aca="false" t="array" ref="M151:M151">IF(B151 &lt;&gt; "",IF(COUNTIF(concat(TRIM('Список прошлого года'!$B$2:$B$200),TRIM('Список прошлого года'!$C$2:$C$200)),concat(TRIM(B151),TRIM(C151))) &gt; 0,"Да","Нет"),"")</f>
        <v>#REF!</v>
      </c>
      <c r="N151" s="1" t="n">
        <v>173</v>
      </c>
      <c r="O151" s="1" t="n">
        <v>2</v>
      </c>
      <c r="Q151" s="1" t="n">
        <f aca="false">TRUE()</f>
        <v>1</v>
      </c>
      <c r="R151" s="1" t="n">
        <f aca="false">TRUE()</f>
        <v>1</v>
      </c>
      <c r="S151" s="1" t="n">
        <f aca="false">TRUE()</f>
        <v>1</v>
      </c>
      <c r="T151" s="1" t="n">
        <f aca="false">TRUE()</f>
        <v>1</v>
      </c>
      <c r="U151" s="1" t="n">
        <f aca="false">TRUE()</f>
        <v>1</v>
      </c>
      <c r="V151" s="1" t="n">
        <f aca="false">TRUE()</f>
        <v>1</v>
      </c>
      <c r="W151" s="1" t="n">
        <f aca="false">TRUE()</f>
        <v>1</v>
      </c>
      <c r="X151" s="1" t="n">
        <f aca="false">TRUE()</f>
        <v>1</v>
      </c>
      <c r="Y151" s="1" t="n">
        <f aca="false">TRUE()</f>
        <v>1</v>
      </c>
      <c r="Z151" s="1" t="n">
        <f aca="false">TRUE()</f>
        <v>1</v>
      </c>
      <c r="AA151" s="1" t="n">
        <f aca="false">TRUE()</f>
        <v>1</v>
      </c>
      <c r="AB151" s="1" t="n">
        <f aca="false">TRUE()</f>
        <v>1</v>
      </c>
      <c r="AC151" s="1" t="n">
        <f aca="false">TRUE()</f>
        <v>1</v>
      </c>
      <c r="AD151" s="1" t="n">
        <f aca="false">TRUE()</f>
        <v>1</v>
      </c>
      <c r="AE151" s="1" t="n">
        <f aca="false">TRUE()</f>
        <v>1</v>
      </c>
      <c r="AF151" s="1" t="n">
        <f aca="false">TRUE()</f>
        <v>1</v>
      </c>
      <c r="AG151" s="1" t="n">
        <f aca="false">TRUE()</f>
        <v>1</v>
      </c>
      <c r="AH151" s="1" t="n">
        <f aca="false">TRUE()</f>
        <v>1</v>
      </c>
      <c r="AI151" s="1" t="n">
        <f aca="false">FALSE()</f>
        <v>0</v>
      </c>
      <c r="AJ151" s="1" t="n">
        <f aca="false">FALSE()</f>
        <v>0</v>
      </c>
      <c r="AK151" s="1" t="n">
        <f aca="false" t="array" ref="AK151:AK151">SUM(IF(Q151:U151,1,0))</f>
        <v>5</v>
      </c>
      <c r="AL151" s="14" t="n">
        <f aca="false" t="array" ref="AL151:AL151">SUM(IF(V151:Z151,1,0))</f>
        <v>5</v>
      </c>
      <c r="AM151" s="14" t="n">
        <f aca="false" t="array" ref="AM151:AM151">SUM(IF(AA151:AE151,1,0))</f>
        <v>5</v>
      </c>
      <c r="AN151" s="14" t="n">
        <f aca="false" t="array" ref="AN151:AN151">SUM(IF(AF151:AJ151,1,0))</f>
        <v>3</v>
      </c>
      <c r="AO151" s="1" t="n">
        <f aca="false">FALSE()</f>
        <v>0</v>
      </c>
      <c r="AP151" s="1" t="n">
        <f aca="false">IF(O151 = 2,COUNTIF(Q151:AJ151,"TRUE"),-1)</f>
        <v>18</v>
      </c>
    </row>
    <row r="152" customFormat="false" ht="15.75" hidden="false" customHeight="false" outlineLevel="0" collapsed="false">
      <c r="A152" s="15" t="e">
        <f aca="true">INDIRECT("'Ответы на форму (1)'!A"&amp;$N152,TRUE())</f>
        <v>#REF!</v>
      </c>
      <c r="B152" s="16" t="e">
        <f aca="true">INDIRECT("'Ответы на форму (1)'!B"&amp;$N152,TRUE())</f>
        <v>#REF!</v>
      </c>
      <c r="C152" s="16" t="e">
        <f aca="true">INDIRECT("'Ответы на форму (1)'!C"&amp;$N152,TRUE())</f>
        <v>#REF!</v>
      </c>
      <c r="D152" s="16" t="e">
        <f aca="true">INDIRECT("'Ответы на форму (1)'!D"&amp;$N152,TRUE())</f>
        <v>#REF!</v>
      </c>
      <c r="E152" s="16" t="n">
        <f aca="false">IFERROR(__xludf.dummyfunction("iferror(VALUE(REGEXEXTRACT(TEXT(INDIRECT(""'Ответы на форму (1)'!E""&amp;$N152,TRUE),""####""),""[0-9]+"")),IF(IFERROR(SEARCH(""моцро"",INDIRECT(""'Ответы на форму (1)'!E""&amp;$N152,TRUE)),-1) &gt;= 0,117,INDIRECT(""'Ответы на форму (1)'!E""&amp;$N152,TRUE)))"),117)</f>
        <v>117</v>
      </c>
      <c r="F152" s="16" t="e">
        <f aca="true">INDIRECT("'Ответы на форму (1)'!F"&amp;$N152,TRUE())</f>
        <v>#REF!</v>
      </c>
      <c r="G152" s="17" t="e">
        <f aca="true">IFERROR(MID(INDIRECT("'Ответы на форму (1)'!G"&amp;$N152,TRUE()),SEARCH("vk.com",INDIRECT("'Ответы на форму (1)'!G"&amp;$N152,TRUE())),LEN(INDIRECT("'Ответы на форму (1)'!G"&amp;$N152,TRUE()))),INDIRECT("'Ответы на форму (1)'!G"&amp;$N152,TRUE()))</f>
        <v>#REF!</v>
      </c>
      <c r="H152" s="16" t="e">
        <f aca="true">INDIRECT("'Ответы на форму (1)'!H"&amp;$N152,TRUE())</f>
        <v>#REF!</v>
      </c>
      <c r="I152" s="16" t="e">
        <f aca="true">INDIRECT("'Ответы на форму (1)'!I"&amp;$N152,TRUE())</f>
        <v>#REF!</v>
      </c>
      <c r="J152" s="16" t="e">
        <f aca="true">INDIRECT("'Ответы на форму (1)'!J"&amp;$N152,TRUE())</f>
        <v>#REF!</v>
      </c>
      <c r="K152" s="16" t="e">
        <f aca="true">INDIRECT("'Ответы на форму (1)'!K"&amp;$N152,TRUE())</f>
        <v>#REF!</v>
      </c>
      <c r="L152" s="16" t="e">
        <f aca="true">INDIRECT("'Ответы на форму (1)'!L"&amp;$N152,TRUE())</f>
        <v>#REF!</v>
      </c>
      <c r="M152" s="16" t="e">
        <f aca="false" t="array" ref="M152:M152">IF(B152 &lt;&gt; "",IF(COUNTIF(concat(TRIM('Список прошлого года'!$B$2:$B$200),TRIM('Список прошлого года'!$C$2:$C$200)),concat(TRIM(B152),TRIM(C152))) &gt; 0,"Да","Нет"),"")</f>
        <v>#REF!</v>
      </c>
      <c r="N152" s="19" t="n">
        <v>175</v>
      </c>
      <c r="O152" s="19" t="n">
        <v>2</v>
      </c>
      <c r="P152" s="16"/>
      <c r="Q152" s="19" t="n">
        <f aca="false">TRUE()</f>
        <v>1</v>
      </c>
      <c r="R152" s="19" t="n">
        <f aca="false">FALSE()</f>
        <v>0</v>
      </c>
      <c r="S152" s="19" t="n">
        <f aca="false">TRUE()</f>
        <v>1</v>
      </c>
      <c r="T152" s="19" t="n">
        <f aca="false">FALSE()</f>
        <v>0</v>
      </c>
      <c r="U152" s="19" t="n">
        <f aca="false">TRUE()</f>
        <v>1</v>
      </c>
      <c r="V152" s="19" t="n">
        <f aca="false">FALSE()</f>
        <v>0</v>
      </c>
      <c r="W152" s="19" t="n">
        <f aca="false">FALSE()</f>
        <v>0</v>
      </c>
      <c r="X152" s="19" t="n">
        <f aca="false">TRUE()</f>
        <v>1</v>
      </c>
      <c r="Y152" s="19" t="n">
        <f aca="false">FALSE()</f>
        <v>0</v>
      </c>
      <c r="Z152" s="19" t="n">
        <f aca="false">TRUE()</f>
        <v>1</v>
      </c>
      <c r="AA152" s="19" t="n">
        <f aca="false">FALSE()</f>
        <v>0</v>
      </c>
      <c r="AB152" s="19" t="n">
        <f aca="false">FALSE()</f>
        <v>0</v>
      </c>
      <c r="AC152" s="19" t="n">
        <f aca="false">FALSE()</f>
        <v>0</v>
      </c>
      <c r="AD152" s="19" t="n">
        <f aca="false">FALSE()</f>
        <v>0</v>
      </c>
      <c r="AE152" s="19" t="n">
        <f aca="false">FALSE()</f>
        <v>0</v>
      </c>
      <c r="AF152" s="19" t="n">
        <f aca="false">FALSE()</f>
        <v>0</v>
      </c>
      <c r="AG152" s="19" t="n">
        <f aca="false">FALSE()</f>
        <v>0</v>
      </c>
      <c r="AH152" s="19" t="n">
        <f aca="false">FALSE()</f>
        <v>0</v>
      </c>
      <c r="AI152" s="19" t="n">
        <f aca="false">FALSE()</f>
        <v>0</v>
      </c>
      <c r="AJ152" s="19" t="n">
        <f aca="false">FALSE()</f>
        <v>0</v>
      </c>
      <c r="AK152" s="19" t="n">
        <f aca="false" t="array" ref="AK152:AK152">SUM(IF(Q152:U152,1,0))</f>
        <v>3</v>
      </c>
      <c r="AL152" s="20" t="n">
        <f aca="false" t="array" ref="AL152:AL152">SUM(IF(V152:Z152,1,0))</f>
        <v>2</v>
      </c>
      <c r="AM152" s="20" t="n">
        <f aca="false" t="array" ref="AM152:AM152">SUM(IF(AA152:AE152,1,0))</f>
        <v>0</v>
      </c>
      <c r="AN152" s="20" t="n">
        <f aca="false" t="array" ref="AN152:AN152">SUM(IF(AF152:AJ152,1,0))</f>
        <v>0</v>
      </c>
      <c r="AO152" s="19" t="n">
        <f aca="false">TRUE()</f>
        <v>1</v>
      </c>
      <c r="AP152" s="1" t="n">
        <f aca="false">IF(O152 = 2,COUNTIF(Q152:AJ152,"TRUE"),-1)</f>
        <v>5</v>
      </c>
    </row>
    <row r="153" customFormat="false" ht="15.75" hidden="false" customHeight="false" outlineLevel="0" collapsed="false">
      <c r="A153" s="15" t="e">
        <f aca="true">INDIRECT("'Ответы на форму (1)'!A"&amp;$N153,TRUE())</f>
        <v>#REF!</v>
      </c>
      <c r="B153" s="16" t="e">
        <f aca="true">INDIRECT("'Ответы на форму (1)'!B"&amp;$N153,TRUE())</f>
        <v>#REF!</v>
      </c>
      <c r="C153" s="16" t="e">
        <f aca="true">INDIRECT("'Ответы на форму (1)'!C"&amp;$N153,TRUE())</f>
        <v>#REF!</v>
      </c>
      <c r="D153" s="16" t="e">
        <f aca="true">INDIRECT("'Ответы на форму (1)'!D"&amp;$N153,TRUE())</f>
        <v>#REF!</v>
      </c>
      <c r="E153" s="16" t="n">
        <f aca="false">IFERROR(__xludf.dummyfunction("iferror(VALUE(REGEXEXTRACT(TEXT(INDIRECT(""'Ответы на форму (1)'!E""&amp;$N153,TRUE),""####""),""[0-9]+"")),IF(IFERROR(SEARCH(""моцро"",INDIRECT(""'Ответы на форму (1)'!E""&amp;$N153,TRUE)),-1) &gt;= 0,117,INDIRECT(""'Ответы на форму (1)'!E""&amp;$N153,TRUE)))"),117)</f>
        <v>117</v>
      </c>
      <c r="F153" s="16" t="e">
        <f aca="true">INDIRECT("'Ответы на форму (1)'!F"&amp;$N153,TRUE())</f>
        <v>#REF!</v>
      </c>
      <c r="G153" s="17" t="e">
        <f aca="true">IFERROR(MID(INDIRECT("'Ответы на форму (1)'!G"&amp;$N153,TRUE()),SEARCH("vk.com",INDIRECT("'Ответы на форму (1)'!G"&amp;$N153,TRUE())),LEN(INDIRECT("'Ответы на форму (1)'!G"&amp;$N153,TRUE()))),INDIRECT("'Ответы на форму (1)'!G"&amp;$N153,TRUE()))</f>
        <v>#REF!</v>
      </c>
      <c r="H153" s="16" t="e">
        <f aca="true">INDIRECT("'Ответы на форму (1)'!H"&amp;$N153,TRUE())</f>
        <v>#REF!</v>
      </c>
      <c r="I153" s="16" t="e">
        <f aca="true">INDIRECT("'Ответы на форму (1)'!I"&amp;$N153,TRUE())</f>
        <v>#REF!</v>
      </c>
      <c r="J153" s="16" t="e">
        <f aca="true">INDIRECT("'Ответы на форму (1)'!J"&amp;$N153,TRUE())</f>
        <v>#REF!</v>
      </c>
      <c r="K153" s="16" t="e">
        <f aca="true">INDIRECT("'Ответы на форму (1)'!K"&amp;$N153,TRUE())</f>
        <v>#REF!</v>
      </c>
      <c r="L153" s="16" t="e">
        <f aca="true">INDIRECT("'Ответы на форму (1)'!L"&amp;$N153,TRUE())</f>
        <v>#REF!</v>
      </c>
      <c r="M153" s="16" t="e">
        <f aca="false" t="array" ref="M153:M153">IF(B153 &lt;&gt; "",IF(COUNTIF(concat(TRIM('Список прошлого года'!$B$2:$B$200),TRIM('Список прошлого года'!$C$2:$C$200)),concat(TRIM(B153),TRIM(C153))) &gt; 0,"Да","Нет"),"")</f>
        <v>#REF!</v>
      </c>
      <c r="N153" s="19" t="n">
        <v>176</v>
      </c>
      <c r="O153" s="19" t="n">
        <v>1</v>
      </c>
      <c r="P153" s="16"/>
      <c r="Q153" s="19" t="n">
        <f aca="false">TRUE()</f>
        <v>1</v>
      </c>
      <c r="R153" s="19" t="n">
        <f aca="false">TRUE()</f>
        <v>1</v>
      </c>
      <c r="S153" s="19" t="n">
        <f aca="false">TRUE()</f>
        <v>1</v>
      </c>
      <c r="T153" s="19" t="n">
        <f aca="false">TRUE()</f>
        <v>1</v>
      </c>
      <c r="U153" s="19" t="n">
        <f aca="false">TRUE()</f>
        <v>1</v>
      </c>
      <c r="V153" s="19" t="n">
        <f aca="false">TRUE()</f>
        <v>1</v>
      </c>
      <c r="W153" s="19" t="n">
        <f aca="false">TRUE()</f>
        <v>1</v>
      </c>
      <c r="X153" s="19" t="n">
        <f aca="false">TRUE()</f>
        <v>1</v>
      </c>
      <c r="Y153" s="19" t="n">
        <f aca="false">TRUE()</f>
        <v>1</v>
      </c>
      <c r="Z153" s="19" t="n">
        <f aca="false">TRUE()</f>
        <v>1</v>
      </c>
      <c r="AA153" s="19" t="n">
        <f aca="false">FALSE()</f>
        <v>0</v>
      </c>
      <c r="AB153" s="19" t="n">
        <f aca="false">FALSE()</f>
        <v>0</v>
      </c>
      <c r="AC153" s="19" t="n">
        <f aca="false">FALSE()</f>
        <v>0</v>
      </c>
      <c r="AD153" s="19" t="n">
        <f aca="false">FALSE()</f>
        <v>0</v>
      </c>
      <c r="AE153" s="19" t="n">
        <f aca="false">FALSE()</f>
        <v>0</v>
      </c>
      <c r="AF153" s="19" t="n">
        <f aca="false">TRUE()</f>
        <v>1</v>
      </c>
      <c r="AG153" s="19" t="n">
        <f aca="false">TRUE()</f>
        <v>1</v>
      </c>
      <c r="AH153" s="19" t="n">
        <f aca="false">TRUE()</f>
        <v>1</v>
      </c>
      <c r="AI153" s="19" t="n">
        <f aca="false">TRUE()</f>
        <v>1</v>
      </c>
      <c r="AJ153" s="19" t="n">
        <f aca="false">TRUE()</f>
        <v>1</v>
      </c>
      <c r="AK153" s="19" t="n">
        <f aca="false" t="array" ref="AK153:AK153">SUM(IF(Q153:U153,1,0))</f>
        <v>5</v>
      </c>
      <c r="AL153" s="20" t="n">
        <f aca="false" t="array" ref="AL153:AL153">SUM(IF(V153:Z153,1,0))</f>
        <v>5</v>
      </c>
      <c r="AM153" s="20" t="n">
        <f aca="false" t="array" ref="AM153:AM153">SUM(IF(AA153:AE153,1,0))</f>
        <v>0</v>
      </c>
      <c r="AN153" s="20" t="n">
        <f aca="false" t="array" ref="AN153:AN153">SUM(IF(AF153:AJ153,1,0))</f>
        <v>5</v>
      </c>
      <c r="AO153" s="19" t="n">
        <f aca="false">TRUE()</f>
        <v>1</v>
      </c>
      <c r="AP153" s="1" t="n">
        <f aca="false">IF(O153 = 2,COUNTIF(Q153:AJ153,"TRUE"),-1)</f>
        <v>-1</v>
      </c>
    </row>
    <row r="154" customFormat="false" ht="15.75" hidden="false" customHeight="false" outlineLevel="0" collapsed="false">
      <c r="A154" s="15" t="e">
        <f aca="true">INDIRECT("'Ответы на форму (1)'!A"&amp;$N154,TRUE())</f>
        <v>#REF!</v>
      </c>
      <c r="B154" s="16" t="e">
        <f aca="true">INDIRECT("'Ответы на форму (1)'!B"&amp;$N154,TRUE())</f>
        <v>#REF!</v>
      </c>
      <c r="C154" s="16" t="e">
        <f aca="true">INDIRECT("'Ответы на форму (1)'!C"&amp;$N154,TRUE())</f>
        <v>#REF!</v>
      </c>
      <c r="D154" s="16" t="e">
        <f aca="true">INDIRECT("'Ответы на форму (1)'!D"&amp;$N154,TRUE())</f>
        <v>#REF!</v>
      </c>
      <c r="E154" s="16" t="n">
        <f aca="false">IFERROR(__xludf.dummyfunction("iferror(VALUE(REGEXEXTRACT(TEXT(INDIRECT(""'Ответы на форму (1)'!E""&amp;$N154,TRUE),""####""),""[0-9]+"")),IF(IFERROR(SEARCH(""моцро"",INDIRECT(""'Ответы на форму (1)'!E""&amp;$N154,TRUE)),-1) &gt;= 0,117,INDIRECT(""'Ответы на форму (1)'!E""&amp;$N154,TRUE)))"),117)</f>
        <v>117</v>
      </c>
      <c r="F154" s="16" t="e">
        <f aca="true">INDIRECT("'Ответы на форму (1)'!F"&amp;$N154,TRUE())</f>
        <v>#REF!</v>
      </c>
      <c r="G154" s="17" t="e">
        <f aca="true">IFERROR(MID(INDIRECT("'Ответы на форму (1)'!G"&amp;$N154,TRUE()),SEARCH("vk.com",INDIRECT("'Ответы на форму (1)'!G"&amp;$N154,TRUE())),LEN(INDIRECT("'Ответы на форму (1)'!G"&amp;$N154,TRUE()))),INDIRECT("'Ответы на форму (1)'!G"&amp;$N154,TRUE()))</f>
        <v>#REF!</v>
      </c>
      <c r="H154" s="16" t="e">
        <f aca="true">INDIRECT("'Ответы на форму (1)'!H"&amp;$N154,TRUE())</f>
        <v>#REF!</v>
      </c>
      <c r="I154" s="16" t="e">
        <f aca="true">INDIRECT("'Ответы на форму (1)'!I"&amp;$N154,TRUE())</f>
        <v>#REF!</v>
      </c>
      <c r="J154" s="16" t="e">
        <f aca="true">INDIRECT("'Ответы на форму (1)'!J"&amp;$N154,TRUE())</f>
        <v>#REF!</v>
      </c>
      <c r="K154" s="16" t="e">
        <f aca="true">INDIRECT("'Ответы на форму (1)'!K"&amp;$N154,TRUE())</f>
        <v>#REF!</v>
      </c>
      <c r="L154" s="16" t="e">
        <f aca="true">INDIRECT("'Ответы на форму (1)'!L"&amp;$N154,TRUE())</f>
        <v>#REF!</v>
      </c>
      <c r="M154" s="16" t="e">
        <f aca="false" t="array" ref="M154:M154">IF(B154 &lt;&gt; "",IF(COUNTIF(concat(TRIM('Список прошлого года'!$B$2:$B$200),TRIM('Список прошлого года'!$C$2:$C$200)),concat(TRIM(B154),TRIM(C154))) &gt; 0,"Да","Нет"),"")</f>
        <v>#REF!</v>
      </c>
      <c r="N154" s="19" t="n">
        <v>177</v>
      </c>
      <c r="O154" s="19" t="n">
        <v>2</v>
      </c>
      <c r="P154" s="16"/>
      <c r="Q154" s="19" t="n">
        <f aca="false">TRUE()</f>
        <v>1</v>
      </c>
      <c r="R154" s="19" t="n">
        <f aca="false">TRUE()</f>
        <v>1</v>
      </c>
      <c r="S154" s="19" t="n">
        <f aca="false">TRUE()</f>
        <v>1</v>
      </c>
      <c r="T154" s="19" t="n">
        <f aca="false">TRUE()</f>
        <v>1</v>
      </c>
      <c r="U154" s="19" t="n">
        <f aca="false">TRUE()</f>
        <v>1</v>
      </c>
      <c r="V154" s="19" t="n">
        <f aca="false">TRUE()</f>
        <v>1</v>
      </c>
      <c r="W154" s="19" t="n">
        <f aca="false">TRUE()</f>
        <v>1</v>
      </c>
      <c r="X154" s="19" t="n">
        <f aca="false">TRUE()</f>
        <v>1</v>
      </c>
      <c r="Y154" s="19" t="n">
        <f aca="false">TRUE()</f>
        <v>1</v>
      </c>
      <c r="Z154" s="19" t="n">
        <f aca="false">TRUE()</f>
        <v>1</v>
      </c>
      <c r="AA154" s="19" t="n">
        <f aca="false">TRUE()</f>
        <v>1</v>
      </c>
      <c r="AB154" s="19" t="n">
        <f aca="false">TRUE()</f>
        <v>1</v>
      </c>
      <c r="AC154" s="19" t="n">
        <f aca="false">TRUE()</f>
        <v>1</v>
      </c>
      <c r="AD154" s="19" t="n">
        <f aca="false">FALSE()</f>
        <v>0</v>
      </c>
      <c r="AE154" s="19" t="n">
        <f aca="false">FALSE()</f>
        <v>0</v>
      </c>
      <c r="AF154" s="19" t="n">
        <f aca="false">TRUE()</f>
        <v>1</v>
      </c>
      <c r="AG154" s="19" t="n">
        <f aca="false">TRUE()</f>
        <v>1</v>
      </c>
      <c r="AH154" s="19" t="n">
        <f aca="false">FALSE()</f>
        <v>0</v>
      </c>
      <c r="AI154" s="19" t="n">
        <f aca="false">FALSE()</f>
        <v>0</v>
      </c>
      <c r="AJ154" s="19" t="n">
        <f aca="false">TRUE()</f>
        <v>1</v>
      </c>
      <c r="AK154" s="19" t="n">
        <f aca="false" t="array" ref="AK154:AK154">SUM(IF(Q154:U154,1,0))</f>
        <v>5</v>
      </c>
      <c r="AL154" s="20" t="n">
        <f aca="false" t="array" ref="AL154:AL154">SUM(IF(V154:Z154,1,0))</f>
        <v>5</v>
      </c>
      <c r="AM154" s="20" t="n">
        <f aca="false" t="array" ref="AM154:AM154">SUM(IF(AA154:AE154,1,0))</f>
        <v>3</v>
      </c>
      <c r="AN154" s="20" t="n">
        <f aca="false" t="array" ref="AN154:AN154">SUM(IF(AF154:AJ154,1,0))</f>
        <v>3</v>
      </c>
      <c r="AO154" s="19" t="n">
        <f aca="false">TRUE()</f>
        <v>1</v>
      </c>
      <c r="AP154" s="1" t="n">
        <f aca="false">IF(O154 = 2,COUNTIF(Q154:AJ154,"TRUE"),-1)</f>
        <v>16</v>
      </c>
    </row>
    <row r="155" customFormat="false" ht="15.75" hidden="false" customHeight="false" outlineLevel="0" collapsed="false">
      <c r="A155" s="8" t="e">
        <f aca="true">INDIRECT("'Ответы на форму (1)'!A"&amp;$N155,TRUE())</f>
        <v>#REF!</v>
      </c>
      <c r="B155" s="0" t="e">
        <f aca="true">INDIRECT("'Ответы на форму (1)'!B"&amp;$N155,TRUE())</f>
        <v>#REF!</v>
      </c>
      <c r="C155" s="0" t="e">
        <f aca="true">INDIRECT("'Ответы на форму (1)'!C"&amp;$N155,TRUE())</f>
        <v>#REF!</v>
      </c>
      <c r="D155" s="0" t="e">
        <f aca="true">INDIRECT("'Ответы на форму (1)'!D"&amp;$N155,TRUE())</f>
        <v>#REF!</v>
      </c>
      <c r="E155" s="0" t="n">
        <f aca="false">IFERROR(__xludf.dummyfunction("iferror(VALUE(REGEXEXTRACT(TEXT(INDIRECT(""'Ответы на форму (1)'!E""&amp;$N155,TRUE),""####""),""[0-9]+"")),IF(IFERROR(SEARCH(""моцро"",INDIRECT(""'Ответы на форму (1)'!E""&amp;$N155,TRUE)),-1) &gt;= 0,117,INDIRECT(""'Ответы на форму (1)'!E""&amp;$N155,TRUE)))"),117)</f>
        <v>117</v>
      </c>
      <c r="F155" s="0" t="e">
        <f aca="true">INDIRECT("'Ответы на форму (1)'!F"&amp;$N155,TRUE())</f>
        <v>#REF!</v>
      </c>
      <c r="G155" s="9" t="e">
        <f aca="true">IFERROR(MID(INDIRECT("'Ответы на форму (1)'!G"&amp;$N155,TRUE()),SEARCH("vk.com",INDIRECT("'Ответы на форму (1)'!G"&amp;$N155,TRUE())),LEN(INDIRECT("'Ответы на форму (1)'!G"&amp;$N155,TRUE()))),INDIRECT("'Ответы на форму (1)'!G"&amp;$N155,TRUE()))</f>
        <v>#REF!</v>
      </c>
      <c r="H155" s="0" t="e">
        <f aca="true">INDIRECT("'Ответы на форму (1)'!H"&amp;$N155,TRUE())</f>
        <v>#REF!</v>
      </c>
      <c r="I155" s="12" t="e">
        <f aca="true">INDIRECT("'Ответы на форму (1)'!I"&amp;$N155,TRUE())</f>
        <v>#REF!</v>
      </c>
      <c r="J155" s="12" t="e">
        <f aca="true">INDIRECT("'Ответы на форму (1)'!J"&amp;$N155,TRUE())</f>
        <v>#REF!</v>
      </c>
      <c r="K155" s="12" t="e">
        <f aca="true">INDIRECT("'Ответы на форму (1)'!K"&amp;$N155,TRUE())</f>
        <v>#REF!</v>
      </c>
      <c r="L155" s="12" t="e">
        <f aca="true">INDIRECT("'Ответы на форму (1)'!L"&amp;$N155,TRUE())</f>
        <v>#REF!</v>
      </c>
      <c r="M155" s="0" t="e">
        <f aca="false" t="array" ref="M155:M155">IF(B155 &lt;&gt; "",IF(COUNTIF(concat(TRIM('Список прошлого года'!$B$2:$B$200),TRIM('Список прошлого года'!$C$2:$C$200)),concat(TRIM(B155),TRIM(C155))) &gt; 0,"Да","Нет"),"")</f>
        <v>#REF!</v>
      </c>
      <c r="N155" s="1" t="n">
        <v>178</v>
      </c>
      <c r="O155" s="1" t="n">
        <v>2</v>
      </c>
      <c r="Q155" s="1" t="n">
        <f aca="false">TRUE()</f>
        <v>1</v>
      </c>
      <c r="R155" s="1" t="n">
        <f aca="false">TRUE()</f>
        <v>1</v>
      </c>
      <c r="S155" s="1" t="n">
        <f aca="false">TRUE()</f>
        <v>1</v>
      </c>
      <c r="T155" s="1" t="n">
        <f aca="false">TRUE()</f>
        <v>1</v>
      </c>
      <c r="U155" s="1" t="n">
        <f aca="false">TRUE()</f>
        <v>1</v>
      </c>
      <c r="V155" s="1" t="n">
        <f aca="false">FALSE()</f>
        <v>0</v>
      </c>
      <c r="W155" s="1" t="n">
        <f aca="false">FALSE()</f>
        <v>0</v>
      </c>
      <c r="X155" s="1" t="n">
        <f aca="false">FALSE()</f>
        <v>0</v>
      </c>
      <c r="Y155" s="1" t="n">
        <f aca="false">FALSE()</f>
        <v>0</v>
      </c>
      <c r="Z155" s="1" t="n">
        <f aca="false">FALSE()</f>
        <v>0</v>
      </c>
      <c r="AA155" s="1" t="n">
        <f aca="false">TRUE()</f>
        <v>1</v>
      </c>
      <c r="AB155" s="1" t="n">
        <f aca="false">TRUE()</f>
        <v>1</v>
      </c>
      <c r="AC155" s="1" t="n">
        <f aca="false">TRUE()</f>
        <v>1</v>
      </c>
      <c r="AD155" s="1" t="n">
        <f aca="false">FALSE()</f>
        <v>0</v>
      </c>
      <c r="AE155" s="1" t="n">
        <f aca="false">FALSE()</f>
        <v>0</v>
      </c>
      <c r="AF155" s="1" t="n">
        <f aca="false">TRUE()</f>
        <v>1</v>
      </c>
      <c r="AG155" s="1" t="n">
        <f aca="false">TRUE()</f>
        <v>1</v>
      </c>
      <c r="AH155" s="1" t="n">
        <f aca="false">FALSE()</f>
        <v>0</v>
      </c>
      <c r="AI155" s="1" t="n">
        <f aca="false">FALSE()</f>
        <v>0</v>
      </c>
      <c r="AJ155" s="1" t="n">
        <f aca="false">FALSE()</f>
        <v>0</v>
      </c>
      <c r="AK155" s="1" t="n">
        <f aca="false" t="array" ref="AK155:AK155">SUM(IF(Q155:U155,1,0))</f>
        <v>5</v>
      </c>
      <c r="AL155" s="14" t="n">
        <f aca="false" t="array" ref="AL155:AL155">SUM(IF(V155:Z155,1,0))</f>
        <v>0</v>
      </c>
      <c r="AM155" s="14" t="n">
        <f aca="false" t="array" ref="AM155:AM155">SUM(IF(AA155:AE155,1,0))</f>
        <v>3</v>
      </c>
      <c r="AN155" s="14" t="n">
        <f aca="false" t="array" ref="AN155:AN155">SUM(IF(AF155:AJ155,1,0))</f>
        <v>2</v>
      </c>
      <c r="AO155" s="1" t="n">
        <f aca="false">FALSE()</f>
        <v>0</v>
      </c>
      <c r="AP155" s="1" t="n">
        <f aca="false">IF(O155 = 2,COUNTIF(Q155:AJ155,"TRUE"),-1)</f>
        <v>10</v>
      </c>
    </row>
    <row r="156" customFormat="false" ht="15.75" hidden="false" customHeight="false" outlineLevel="0" collapsed="false">
      <c r="A156" s="8" t="e">
        <f aca="true">INDIRECT("'Ответы на форму (1)'!A"&amp;$N156,TRUE())</f>
        <v>#REF!</v>
      </c>
      <c r="B156" s="0" t="e">
        <f aca="true">INDIRECT("'Ответы на форму (1)'!B"&amp;$N156,TRUE())</f>
        <v>#REF!</v>
      </c>
      <c r="C156" s="0" t="e">
        <f aca="true">INDIRECT("'Ответы на форму (1)'!C"&amp;$N156,TRUE())</f>
        <v>#REF!</v>
      </c>
      <c r="D156" s="0" t="e">
        <f aca="true">INDIRECT("'Ответы на форму (1)'!D"&amp;$N156,TRUE())</f>
        <v>#REF!</v>
      </c>
      <c r="E156" s="0" t="n">
        <f aca="false">IFERROR(__xludf.dummyfunction("iferror(VALUE(REGEXEXTRACT(TEXT(INDIRECT(""'Ответы на форму (1)'!E""&amp;$N156,TRUE),""####""),""[0-9]+"")),IF(IFERROR(SEARCH(""моцро"",INDIRECT(""'Ответы на форму (1)'!E""&amp;$N156,TRUE)),-1) &gt;= 0,117,INDIRECT(""'Ответы на форму (1)'!E""&amp;$N156,TRUE)))"),109)</f>
        <v>109</v>
      </c>
      <c r="F156" s="0" t="e">
        <f aca="true">INDIRECT("'Ответы на форму (1)'!F"&amp;$N156,TRUE())</f>
        <v>#REF!</v>
      </c>
      <c r="G156" s="9" t="e">
        <f aca="true">IFERROR(MID(INDIRECT("'Ответы на форму (1)'!G"&amp;$N156,TRUE()),SEARCH("vk.com",INDIRECT("'Ответы на форму (1)'!G"&amp;$N156,TRUE())),LEN(INDIRECT("'Ответы на форму (1)'!G"&amp;$N156,TRUE()))),INDIRECT("'Ответы на форму (1)'!G"&amp;$N156,TRUE()))</f>
        <v>#REF!</v>
      </c>
      <c r="H156" s="0" t="e">
        <f aca="true">INDIRECT("'Ответы на форму (1)'!H"&amp;$N156,TRUE())</f>
        <v>#REF!</v>
      </c>
      <c r="I156" s="12" t="e">
        <f aca="true">INDIRECT("'Ответы на форму (1)'!I"&amp;$N156,TRUE())</f>
        <v>#REF!</v>
      </c>
      <c r="J156" s="12" t="e">
        <f aca="true">INDIRECT("'Ответы на форму (1)'!J"&amp;$N156,TRUE())</f>
        <v>#REF!</v>
      </c>
      <c r="K156" s="12" t="e">
        <f aca="true">INDIRECT("'Ответы на форму (1)'!K"&amp;$N156,TRUE())</f>
        <v>#REF!</v>
      </c>
      <c r="L156" s="12" t="e">
        <f aca="true">INDIRECT("'Ответы на форму (1)'!L"&amp;$N156,TRUE())</f>
        <v>#REF!</v>
      </c>
      <c r="M156" s="0" t="e">
        <f aca="false" t="array" ref="M156:M156">IF(B156 &lt;&gt; "",IF(COUNTIF(concat(TRIM('Список прошлого года'!$B$2:$B$200),TRIM('Список прошлого года'!$C$2:$C$200)),concat(TRIM(B156),TRIM(C156))) &gt; 0,"Да","Нет"),"")</f>
        <v>#REF!</v>
      </c>
      <c r="N156" s="1" t="n">
        <v>179</v>
      </c>
      <c r="O156" s="1" t="n">
        <v>2</v>
      </c>
      <c r="Q156" s="1" t="n">
        <f aca="false">TRUE()</f>
        <v>1</v>
      </c>
      <c r="R156" s="1" t="n">
        <f aca="false">TRUE()</f>
        <v>1</v>
      </c>
      <c r="S156" s="1" t="n">
        <f aca="false">TRUE()</f>
        <v>1</v>
      </c>
      <c r="T156" s="1" t="n">
        <f aca="false">TRUE()</f>
        <v>1</v>
      </c>
      <c r="U156" s="1" t="n">
        <f aca="false">TRUE()</f>
        <v>1</v>
      </c>
      <c r="V156" s="1" t="n">
        <f aca="false">TRUE()</f>
        <v>1</v>
      </c>
      <c r="W156" s="1" t="n">
        <f aca="false">TRUE()</f>
        <v>1</v>
      </c>
      <c r="X156" s="1" t="n">
        <f aca="false">TRUE()</f>
        <v>1</v>
      </c>
      <c r="Y156" s="1" t="n">
        <f aca="false">TRUE()</f>
        <v>1</v>
      </c>
      <c r="Z156" s="1" t="n">
        <f aca="false">TRUE()</f>
        <v>1</v>
      </c>
      <c r="AA156" s="1" t="n">
        <f aca="false">TRUE()</f>
        <v>1</v>
      </c>
      <c r="AB156" s="1" t="n">
        <f aca="false">TRUE()</f>
        <v>1</v>
      </c>
      <c r="AC156" s="1" t="n">
        <f aca="false">TRUE()</f>
        <v>1</v>
      </c>
      <c r="AD156" s="1" t="n">
        <f aca="false">FALSE()</f>
        <v>0</v>
      </c>
      <c r="AE156" s="1" t="n">
        <f aca="false">FALSE()</f>
        <v>0</v>
      </c>
      <c r="AF156" s="1" t="n">
        <f aca="false">TRUE()</f>
        <v>1</v>
      </c>
      <c r="AG156" s="1" t="n">
        <f aca="false">TRUE()</f>
        <v>1</v>
      </c>
      <c r="AH156" s="1" t="n">
        <f aca="false">TRUE()</f>
        <v>1</v>
      </c>
      <c r="AI156" s="1" t="n">
        <f aca="false">TRUE()</f>
        <v>1</v>
      </c>
      <c r="AJ156" s="1" t="n">
        <f aca="false">TRUE()</f>
        <v>1</v>
      </c>
      <c r="AK156" s="1" t="n">
        <f aca="false" t="array" ref="AK156:AK156">SUM(IF(Q156:U156,1,0))</f>
        <v>5</v>
      </c>
      <c r="AL156" s="14" t="n">
        <f aca="false" t="array" ref="AL156:AL156">SUM(IF(V156:Z156,1,0))</f>
        <v>5</v>
      </c>
      <c r="AM156" s="14" t="n">
        <f aca="false" t="array" ref="AM156:AM156">SUM(IF(AA156:AE156,1,0))</f>
        <v>3</v>
      </c>
      <c r="AN156" s="14" t="n">
        <f aca="false" t="array" ref="AN156:AN156">SUM(IF(AF156:AJ156,1,0))</f>
        <v>5</v>
      </c>
      <c r="AO156" s="1" t="n">
        <f aca="false">FALSE()</f>
        <v>0</v>
      </c>
      <c r="AP156" s="1" t="n">
        <f aca="false">IF(O156 = 2,COUNTIF(Q156:AJ156,"TRUE"),-1)</f>
        <v>18</v>
      </c>
    </row>
    <row r="157" customFormat="false" ht="15.75" hidden="false" customHeight="false" outlineLevel="0" collapsed="false">
      <c r="A157" s="15" t="e">
        <f aca="true">INDIRECT("'Ответы на форму (1)'!A"&amp;$N157,TRUE())</f>
        <v>#REF!</v>
      </c>
      <c r="B157" s="16" t="e">
        <f aca="true">INDIRECT("'Ответы на форму (1)'!B"&amp;$N157,TRUE())</f>
        <v>#REF!</v>
      </c>
      <c r="C157" s="16" t="e">
        <f aca="true">INDIRECT("'Ответы на форму (1)'!C"&amp;$N157,TRUE())</f>
        <v>#REF!</v>
      </c>
      <c r="D157" s="16" t="e">
        <f aca="true">INDIRECT("'Ответы на форму (1)'!D"&amp;$N157,TRUE())</f>
        <v>#REF!</v>
      </c>
      <c r="E157" s="16" t="n">
        <f aca="false">IFERROR(__xludf.dummyfunction("iferror(VALUE(REGEXEXTRACT(TEXT(INDIRECT(""'Ответы на форму (1)'!E""&amp;$N157,TRUE),""####""),""[0-9]+"")),IF(IFERROR(SEARCH(""моцро"",INDIRECT(""'Ответы на форму (1)'!E""&amp;$N157,TRUE)),-1) &gt;= 0,117,INDIRECT(""'Ответы на форму (1)'!E""&amp;$N157,TRUE)))"),117)</f>
        <v>117</v>
      </c>
      <c r="F157" s="16" t="e">
        <f aca="true">INDIRECT("'Ответы на форму (1)'!F"&amp;$N157,TRUE())</f>
        <v>#REF!</v>
      </c>
      <c r="G157" s="17" t="e">
        <f aca="true">IFERROR(MID(INDIRECT("'Ответы на форму (1)'!G"&amp;$N157,TRUE()),SEARCH("vk.com",INDIRECT("'Ответы на форму (1)'!G"&amp;$N157,TRUE())),LEN(INDIRECT("'Ответы на форму (1)'!G"&amp;$N157,TRUE()))),INDIRECT("'Ответы на форму (1)'!G"&amp;$N157,TRUE()))</f>
        <v>#REF!</v>
      </c>
      <c r="H157" s="16" t="e">
        <f aca="true">INDIRECT("'Ответы на форму (1)'!H"&amp;$N157,TRUE())</f>
        <v>#REF!</v>
      </c>
      <c r="I157" s="16" t="e">
        <f aca="true">INDIRECT("'Ответы на форму (1)'!I"&amp;$N157,TRUE())</f>
        <v>#REF!</v>
      </c>
      <c r="J157" s="16" t="e">
        <f aca="true">INDIRECT("'Ответы на форму (1)'!J"&amp;$N157,TRUE())</f>
        <v>#REF!</v>
      </c>
      <c r="K157" s="16" t="e">
        <f aca="true">INDIRECT("'Ответы на форму (1)'!K"&amp;$N157,TRUE())</f>
        <v>#REF!</v>
      </c>
      <c r="L157" s="16" t="e">
        <f aca="true">INDIRECT("'Ответы на форму (1)'!L"&amp;$N157,TRUE())</f>
        <v>#REF!</v>
      </c>
      <c r="M157" s="16" t="e">
        <f aca="false" t="array" ref="M157:M157">IF(B157 &lt;&gt; "",IF(COUNTIF(concat(TRIM('Список прошлого года'!$B$2:$B$200),TRIM('Список прошлого года'!$C$2:$C$200)),concat(TRIM(B157),TRIM(C157))) &gt; 0,"Да","Нет"),"")</f>
        <v>#REF!</v>
      </c>
      <c r="N157" s="19" t="n">
        <v>180</v>
      </c>
      <c r="O157" s="19" t="n">
        <v>2</v>
      </c>
      <c r="P157" s="16"/>
      <c r="Q157" s="19" t="n">
        <f aca="false">TRUE()</f>
        <v>1</v>
      </c>
      <c r="R157" s="19" t="n">
        <f aca="false">TRUE()</f>
        <v>1</v>
      </c>
      <c r="S157" s="19" t="n">
        <f aca="false">TRUE()</f>
        <v>1</v>
      </c>
      <c r="T157" s="19" t="n">
        <f aca="false">TRUE()</f>
        <v>1</v>
      </c>
      <c r="U157" s="19" t="n">
        <f aca="false">TRUE()</f>
        <v>1</v>
      </c>
      <c r="V157" s="19" t="n">
        <f aca="false">TRUE()</f>
        <v>1</v>
      </c>
      <c r="W157" s="19" t="n">
        <f aca="false">TRUE()</f>
        <v>1</v>
      </c>
      <c r="X157" s="19" t="n">
        <f aca="false">TRUE()</f>
        <v>1</v>
      </c>
      <c r="Y157" s="19" t="n">
        <f aca="false">TRUE()</f>
        <v>1</v>
      </c>
      <c r="Z157" s="19" t="n">
        <f aca="false">TRUE()</f>
        <v>1</v>
      </c>
      <c r="AA157" s="19" t="n">
        <f aca="false">TRUE()</f>
        <v>1</v>
      </c>
      <c r="AB157" s="19" t="n">
        <f aca="false">TRUE()</f>
        <v>1</v>
      </c>
      <c r="AC157" s="19" t="n">
        <f aca="false">TRUE()</f>
        <v>1</v>
      </c>
      <c r="AD157" s="19" t="n">
        <f aca="false">FALSE()</f>
        <v>0</v>
      </c>
      <c r="AE157" s="19" t="n">
        <f aca="false">FALSE()</f>
        <v>0</v>
      </c>
      <c r="AF157" s="19" t="n">
        <f aca="false">TRUE()</f>
        <v>1</v>
      </c>
      <c r="AG157" s="19" t="n">
        <f aca="false">TRUE()</f>
        <v>1</v>
      </c>
      <c r="AH157" s="19" t="n">
        <f aca="false">TRUE()</f>
        <v>1</v>
      </c>
      <c r="AI157" s="19" t="n">
        <f aca="false">FALSE()</f>
        <v>0</v>
      </c>
      <c r="AJ157" s="19" t="n">
        <f aca="false">FALSE()</f>
        <v>0</v>
      </c>
      <c r="AK157" s="19" t="n">
        <f aca="false" t="array" ref="AK157:AK157">SUM(IF(Q157:U157,1,0))</f>
        <v>5</v>
      </c>
      <c r="AL157" s="20" t="n">
        <f aca="false" t="array" ref="AL157:AL157">SUM(IF(V157:Z157,1,0))</f>
        <v>5</v>
      </c>
      <c r="AM157" s="20" t="n">
        <f aca="false" t="array" ref="AM157:AM157">SUM(IF(AA157:AE157,1,0))</f>
        <v>3</v>
      </c>
      <c r="AN157" s="20" t="n">
        <f aca="false" t="array" ref="AN157:AN157">SUM(IF(AF157:AJ157,1,0))</f>
        <v>3</v>
      </c>
      <c r="AO157" s="19" t="n">
        <f aca="false">TRUE()</f>
        <v>1</v>
      </c>
      <c r="AP157" s="1" t="n">
        <f aca="false">IF(O157 = 2,COUNTIF(Q157:AJ157,"TRUE"),-1)</f>
        <v>16</v>
      </c>
    </row>
    <row r="158" customFormat="false" ht="15.75" hidden="false" customHeight="false" outlineLevel="0" collapsed="false">
      <c r="A158" s="8" t="e">
        <f aca="true">INDIRECT("'Ответы на форму (1)'!A"&amp;$N158,TRUE())</f>
        <v>#REF!</v>
      </c>
      <c r="B158" s="0" t="e">
        <f aca="true">INDIRECT("'Ответы на форму (1)'!B"&amp;$N158,TRUE())</f>
        <v>#REF!</v>
      </c>
      <c r="C158" s="0" t="e">
        <f aca="true">INDIRECT("'Ответы на форму (1)'!C"&amp;$N158,TRUE())</f>
        <v>#REF!</v>
      </c>
      <c r="D158" s="0" t="e">
        <f aca="true">INDIRECT("'Ответы на форму (1)'!D"&amp;$N158,TRUE())</f>
        <v>#REF!</v>
      </c>
      <c r="E158" s="0" t="n">
        <f aca="false">IFERROR(__xludf.dummyfunction("iferror(VALUE(REGEXEXTRACT(TEXT(INDIRECT(""'Ответы на форму (1)'!E""&amp;$N158,TRUE),""####""),""[0-9]+"")),IF(IFERROR(SEARCH(""моцро"",INDIRECT(""'Ответы на форму (1)'!E""&amp;$N158,TRUE)),-1) &gt;= 0,117,INDIRECT(""'Ответы на форму (1)'!E""&amp;$N158,TRUE)))"),117)</f>
        <v>117</v>
      </c>
      <c r="F158" s="0" t="e">
        <f aca="true">INDIRECT("'Ответы на форму (1)'!F"&amp;$N158,TRUE())</f>
        <v>#REF!</v>
      </c>
      <c r="G158" s="9" t="e">
        <f aca="true">IFERROR(MID(INDIRECT("'Ответы на форму (1)'!G"&amp;$N158,TRUE()),SEARCH("vk.com",INDIRECT("'Ответы на форму (1)'!G"&amp;$N158,TRUE())),LEN(INDIRECT("'Ответы на форму (1)'!G"&amp;$N158,TRUE()))),INDIRECT("'Ответы на форму (1)'!G"&amp;$N158,TRUE()))</f>
        <v>#REF!</v>
      </c>
      <c r="H158" s="0" t="e">
        <f aca="true">INDIRECT("'Ответы на форму (1)'!H"&amp;$N158,TRUE())</f>
        <v>#REF!</v>
      </c>
      <c r="I158" s="12" t="e">
        <f aca="true">INDIRECT("'Ответы на форму (1)'!I"&amp;$N158,TRUE())</f>
        <v>#REF!</v>
      </c>
      <c r="J158" s="12" t="e">
        <f aca="true">INDIRECT("'Ответы на форму (1)'!J"&amp;$N158,TRUE())</f>
        <v>#REF!</v>
      </c>
      <c r="K158" s="12" t="e">
        <f aca="true">INDIRECT("'Ответы на форму (1)'!K"&amp;$N158,TRUE())</f>
        <v>#REF!</v>
      </c>
      <c r="L158" s="12" t="e">
        <f aca="true">INDIRECT("'Ответы на форму (1)'!L"&amp;$N158,TRUE())</f>
        <v>#REF!</v>
      </c>
      <c r="M158" s="0" t="e">
        <f aca="false" t="array" ref="M158:M158">IF(B158 &lt;&gt; "",IF(COUNTIF(concat(TRIM('Список прошлого года'!$B$2:$B$200),TRIM('Список прошлого года'!$C$2:$C$200)),concat(TRIM(B158),TRIM(C158))) &gt; 0,"Да","Нет"),"")</f>
        <v>#REF!</v>
      </c>
      <c r="N158" s="1" t="n">
        <v>181</v>
      </c>
      <c r="O158" s="1" t="n">
        <v>2</v>
      </c>
      <c r="Q158" s="1" t="n">
        <f aca="false">TRUE()</f>
        <v>1</v>
      </c>
      <c r="R158" s="1" t="n">
        <f aca="false">TRUE()</f>
        <v>1</v>
      </c>
      <c r="S158" s="1" t="n">
        <f aca="false">TRUE()</f>
        <v>1</v>
      </c>
      <c r="T158" s="1" t="n">
        <f aca="false">TRUE()</f>
        <v>1</v>
      </c>
      <c r="U158" s="1" t="n">
        <f aca="false">TRUE()</f>
        <v>1</v>
      </c>
      <c r="V158" s="1" t="n">
        <f aca="false">TRUE()</f>
        <v>1</v>
      </c>
      <c r="W158" s="1" t="n">
        <f aca="false">TRUE()</f>
        <v>1</v>
      </c>
      <c r="X158" s="1" t="n">
        <f aca="false">TRUE()</f>
        <v>1</v>
      </c>
      <c r="Y158" s="1" t="n">
        <f aca="false">TRUE()</f>
        <v>1</v>
      </c>
      <c r="Z158" s="1" t="n">
        <f aca="false">TRUE()</f>
        <v>1</v>
      </c>
      <c r="AA158" s="1" t="n">
        <f aca="false">TRUE()</f>
        <v>1</v>
      </c>
      <c r="AB158" s="1" t="n">
        <f aca="false">TRUE()</f>
        <v>1</v>
      </c>
      <c r="AC158" s="1" t="n">
        <f aca="false">TRUE()</f>
        <v>1</v>
      </c>
      <c r="AD158" s="1" t="n">
        <f aca="false">TRUE()</f>
        <v>1</v>
      </c>
      <c r="AE158" s="1" t="n">
        <f aca="false">FALSE()</f>
        <v>0</v>
      </c>
      <c r="AF158" s="1" t="n">
        <f aca="false">TRUE()</f>
        <v>1</v>
      </c>
      <c r="AG158" s="1" t="n">
        <f aca="false">TRUE()</f>
        <v>1</v>
      </c>
      <c r="AH158" s="1" t="n">
        <f aca="false">TRUE()</f>
        <v>1</v>
      </c>
      <c r="AI158" s="1" t="n">
        <f aca="false">FALSE()</f>
        <v>0</v>
      </c>
      <c r="AJ158" s="1" t="n">
        <f aca="false">FALSE()</f>
        <v>0</v>
      </c>
      <c r="AK158" s="1" t="n">
        <f aca="false" t="array" ref="AK158:AK158">SUM(IF(Q158:U158,1,0))</f>
        <v>5</v>
      </c>
      <c r="AL158" s="14" t="n">
        <f aca="false" t="array" ref="AL158:AL158">SUM(IF(V158:Z158,1,0))</f>
        <v>5</v>
      </c>
      <c r="AM158" s="14" t="n">
        <f aca="false" t="array" ref="AM158:AM158">SUM(IF(AA158:AE158,1,0))</f>
        <v>4</v>
      </c>
      <c r="AN158" s="14" t="n">
        <f aca="false" t="array" ref="AN158:AN158">SUM(IF(AF158:AJ158,1,0))</f>
        <v>3</v>
      </c>
      <c r="AO158" s="1" t="n">
        <f aca="false">FALSE()</f>
        <v>0</v>
      </c>
      <c r="AP158" s="1" t="n">
        <f aca="false">IF(O158 = 2,COUNTIF(Q158:AJ158,"TRUE"),-1)</f>
        <v>17</v>
      </c>
    </row>
    <row r="159" customFormat="false" ht="15.75" hidden="false" customHeight="false" outlineLevel="0" collapsed="false">
      <c r="A159" s="8" t="e">
        <f aca="true">INDIRECT("'Ответы на форму (1)'!A"&amp;$N159,TRUE())</f>
        <v>#REF!</v>
      </c>
      <c r="B159" s="0" t="e">
        <f aca="true">INDIRECT("'Ответы на форму (1)'!B"&amp;$N159,TRUE())</f>
        <v>#REF!</v>
      </c>
      <c r="C159" s="0" t="e">
        <f aca="true">INDIRECT("'Ответы на форму (1)'!C"&amp;$N159,TRUE())</f>
        <v>#REF!</v>
      </c>
      <c r="D159" s="0" t="e">
        <f aca="true">INDIRECT("'Ответы на форму (1)'!D"&amp;$N159,TRUE())</f>
        <v>#REF!</v>
      </c>
      <c r="E159" s="0" t="n">
        <f aca="false">IFERROR(__xludf.dummyfunction("iferror(VALUE(REGEXEXTRACT(TEXT(INDIRECT(""'Ответы на форму (1)'!E""&amp;$N159,TRUE),""####""),""[0-9]+"")),IF(IFERROR(SEARCH(""моцро"",INDIRECT(""'Ответы на форму (1)'!E""&amp;$N159,TRUE)),-1) &gt;= 0,117,INDIRECT(""'Ответы на форму (1)'!E""&amp;$N159,TRUE)))"),17)</f>
        <v>17</v>
      </c>
      <c r="F159" s="0" t="e">
        <f aca="true">INDIRECT("'Ответы на форму (1)'!F"&amp;$N159,TRUE())</f>
        <v>#REF!</v>
      </c>
      <c r="G159" s="9" t="e">
        <f aca="true">IFERROR(MID(INDIRECT("'Ответы на форму (1)'!G"&amp;$N159,TRUE()),SEARCH("vk.com",INDIRECT("'Ответы на форму (1)'!G"&amp;$N159,TRUE())),LEN(INDIRECT("'Ответы на форму (1)'!G"&amp;$N159,TRUE()))),INDIRECT("'Ответы на форму (1)'!G"&amp;$N159,TRUE()))</f>
        <v>#REF!</v>
      </c>
      <c r="H159" s="0" t="e">
        <f aca="true">INDIRECT("'Ответы на форму (1)'!H"&amp;$N159,TRUE())</f>
        <v>#REF!</v>
      </c>
      <c r="I159" s="12" t="e">
        <f aca="true">INDIRECT("'Ответы на форму (1)'!I"&amp;$N159,TRUE())</f>
        <v>#REF!</v>
      </c>
      <c r="J159" s="12" t="e">
        <f aca="true">INDIRECT("'Ответы на форму (1)'!J"&amp;$N159,TRUE())</f>
        <v>#REF!</v>
      </c>
      <c r="K159" s="12" t="e">
        <f aca="true">INDIRECT("'Ответы на форму (1)'!K"&amp;$N159,TRUE())</f>
        <v>#REF!</v>
      </c>
      <c r="L159" s="12" t="e">
        <f aca="true">INDIRECT("'Ответы на форму (1)'!L"&amp;$N159,TRUE())</f>
        <v>#REF!</v>
      </c>
      <c r="M159" s="0" t="e">
        <f aca="false" t="array" ref="M159:M159">IF(B159 &lt;&gt; "",IF(COUNTIF(concat(TRIM('Список прошлого года'!$B$2:$B$200),TRIM('Список прошлого года'!$C$2:$C$200)),concat(TRIM(B159),TRIM(C159))) &gt; 0,"Да","Нет"),"")</f>
        <v>#REF!</v>
      </c>
      <c r="N159" s="1" t="n">
        <v>182</v>
      </c>
      <c r="O159" s="1" t="n">
        <v>2</v>
      </c>
      <c r="Q159" s="1" t="n">
        <f aca="false">FALSE()</f>
        <v>0</v>
      </c>
      <c r="R159" s="1" t="n">
        <f aca="false">FALSE()</f>
        <v>0</v>
      </c>
      <c r="S159" s="1" t="n">
        <f aca="false">FALSE()</f>
        <v>0</v>
      </c>
      <c r="T159" s="1" t="n">
        <f aca="false">FALSE()</f>
        <v>0</v>
      </c>
      <c r="U159" s="1" t="n">
        <f aca="false">FALSE()</f>
        <v>0</v>
      </c>
      <c r="V159" s="1" t="n">
        <f aca="false">FALSE()</f>
        <v>0</v>
      </c>
      <c r="W159" s="1" t="n">
        <f aca="false">FALSE()</f>
        <v>0</v>
      </c>
      <c r="X159" s="1" t="n">
        <f aca="false">FALSE()</f>
        <v>0</v>
      </c>
      <c r="Y159" s="1" t="n">
        <f aca="false">FALSE()</f>
        <v>0</v>
      </c>
      <c r="Z159" s="1" t="n">
        <f aca="false">FALSE()</f>
        <v>0</v>
      </c>
      <c r="AA159" s="1" t="n">
        <f aca="false">FALSE()</f>
        <v>0</v>
      </c>
      <c r="AB159" s="1" t="n">
        <f aca="false">FALSE()</f>
        <v>0</v>
      </c>
      <c r="AC159" s="1" t="n">
        <f aca="false">FALSE()</f>
        <v>0</v>
      </c>
      <c r="AD159" s="1" t="n">
        <f aca="false">FALSE()</f>
        <v>0</v>
      </c>
      <c r="AE159" s="1" t="n">
        <f aca="false">FALSE()</f>
        <v>0</v>
      </c>
      <c r="AF159" s="1" t="n">
        <f aca="false">FALSE()</f>
        <v>0</v>
      </c>
      <c r="AG159" s="1" t="n">
        <f aca="false">FALSE()</f>
        <v>0</v>
      </c>
      <c r="AH159" s="1" t="n">
        <f aca="false">FALSE()</f>
        <v>0</v>
      </c>
      <c r="AI159" s="1" t="n">
        <f aca="false">FALSE()</f>
        <v>0</v>
      </c>
      <c r="AJ159" s="1" t="n">
        <f aca="false">FALSE()</f>
        <v>0</v>
      </c>
      <c r="AK159" s="1" t="n">
        <f aca="false" t="array" ref="AK159:AK159">SUM(IF(Q159:U159,1,0))</f>
        <v>0</v>
      </c>
      <c r="AL159" s="14" t="n">
        <f aca="false" t="array" ref="AL159:AL159">SUM(IF(V159:Z159,1,0))</f>
        <v>0</v>
      </c>
      <c r="AM159" s="14" t="n">
        <f aca="false" t="array" ref="AM159:AM159">SUM(IF(AA159:AE159,1,0))</f>
        <v>0</v>
      </c>
      <c r="AN159" s="14" t="n">
        <f aca="false" t="array" ref="AN159:AN159">SUM(IF(AF159:AJ159,1,0))</f>
        <v>0</v>
      </c>
      <c r="AO159" s="1" t="n">
        <f aca="false">FALSE()</f>
        <v>0</v>
      </c>
      <c r="AP159" s="1" t="n">
        <f aca="false">IF(O159 = 2,COUNTIF(Q159:AJ159,"TRUE"),-1)</f>
        <v>0</v>
      </c>
    </row>
    <row r="160" customFormat="false" ht="15.75" hidden="false" customHeight="false" outlineLevel="0" collapsed="false">
      <c r="A160" s="8" t="e">
        <f aca="true">INDIRECT("'Ответы на форму (1)'!A"&amp;$N160,TRUE())</f>
        <v>#REF!</v>
      </c>
      <c r="B160" s="0" t="e">
        <f aca="true">INDIRECT("'Ответы на форму (1)'!B"&amp;$N160,TRUE())</f>
        <v>#REF!</v>
      </c>
      <c r="C160" s="0" t="e">
        <f aca="true">INDIRECT("'Ответы на форму (1)'!C"&amp;$N160,TRUE())</f>
        <v>#REF!</v>
      </c>
      <c r="D160" s="0" t="e">
        <f aca="true">INDIRECT("'Ответы на форму (1)'!D"&amp;$N160,TRUE())</f>
        <v>#REF!</v>
      </c>
      <c r="E160" s="0" t="n">
        <f aca="false">IFERROR(__xludf.dummyfunction("iferror(VALUE(REGEXEXTRACT(TEXT(INDIRECT(""'Ответы на форму (1)'!E""&amp;$N160,TRUE),""####""),""[0-9]+"")),IF(IFERROR(SEARCH(""моцро"",INDIRECT(""'Ответы на форму (1)'!E""&amp;$N160,TRUE)),-1) &gt;= 0,117,INDIRECT(""'Ответы на форму (1)'!E""&amp;$N160,TRUE)))"),117)</f>
        <v>117</v>
      </c>
      <c r="F160" s="0" t="e">
        <f aca="true">INDIRECT("'Ответы на форму (1)'!F"&amp;$N160,TRUE())</f>
        <v>#REF!</v>
      </c>
      <c r="G160" s="9" t="e">
        <f aca="true">IFERROR(MID(INDIRECT("'Ответы на форму (1)'!G"&amp;$N160,TRUE()),SEARCH("vk.com",INDIRECT("'Ответы на форму (1)'!G"&amp;$N160,TRUE())),LEN(INDIRECT("'Ответы на форму (1)'!G"&amp;$N160,TRUE()))),INDIRECT("'Ответы на форму (1)'!G"&amp;$N160,TRUE()))</f>
        <v>#REF!</v>
      </c>
      <c r="H160" s="0" t="e">
        <f aca="true">INDIRECT("'Ответы на форму (1)'!H"&amp;$N160,TRUE())</f>
        <v>#REF!</v>
      </c>
      <c r="I160" s="12" t="e">
        <f aca="true">INDIRECT("'Ответы на форму (1)'!I"&amp;$N160,TRUE())</f>
        <v>#REF!</v>
      </c>
      <c r="J160" s="12" t="e">
        <f aca="true">INDIRECT("'Ответы на форму (1)'!J"&amp;$N160,TRUE())</f>
        <v>#REF!</v>
      </c>
      <c r="K160" s="12" t="e">
        <f aca="true">INDIRECT("'Ответы на форму (1)'!K"&amp;$N160,TRUE())</f>
        <v>#REF!</v>
      </c>
      <c r="L160" s="12" t="e">
        <f aca="true">INDIRECT("'Ответы на форму (1)'!L"&amp;$N160,TRUE())</f>
        <v>#REF!</v>
      </c>
      <c r="M160" s="0" t="e">
        <f aca="false" t="array" ref="M160:M160">IF(B160 &lt;&gt; "",IF(COUNTIF(concat(TRIM('Список прошлого года'!$B$2:$B$200),TRIM('Список прошлого года'!$C$2:$C$200)),concat(TRIM(B160),TRIM(C160))) &gt; 0,"Да","Нет"),"")</f>
        <v>#REF!</v>
      </c>
      <c r="N160" s="1" t="n">
        <v>183</v>
      </c>
      <c r="O160" s="1" t="n">
        <v>2</v>
      </c>
      <c r="Q160" s="1" t="n">
        <f aca="false">TRUE()</f>
        <v>1</v>
      </c>
      <c r="R160" s="1" t="n">
        <f aca="false">TRUE()</f>
        <v>1</v>
      </c>
      <c r="S160" s="1" t="n">
        <f aca="false">TRUE()</f>
        <v>1</v>
      </c>
      <c r="T160" s="1" t="n">
        <f aca="false">TRUE()</f>
        <v>1</v>
      </c>
      <c r="U160" s="1" t="n">
        <f aca="false">TRUE()</f>
        <v>1</v>
      </c>
      <c r="V160" s="1" t="n">
        <f aca="false">TRUE()</f>
        <v>1</v>
      </c>
      <c r="W160" s="1" t="n">
        <f aca="false">TRUE()</f>
        <v>1</v>
      </c>
      <c r="X160" s="1" t="n">
        <f aca="false">TRUE()</f>
        <v>1</v>
      </c>
      <c r="Y160" s="1" t="n">
        <f aca="false">TRUE()</f>
        <v>1</v>
      </c>
      <c r="Z160" s="1" t="n">
        <f aca="false">TRUE()</f>
        <v>1</v>
      </c>
      <c r="AA160" s="1" t="n">
        <f aca="false">FALSE()</f>
        <v>0</v>
      </c>
      <c r="AB160" s="1" t="n">
        <f aca="false">FALSE()</f>
        <v>0</v>
      </c>
      <c r="AC160" s="1" t="n">
        <f aca="false">FALSE()</f>
        <v>0</v>
      </c>
      <c r="AD160" s="1" t="n">
        <f aca="false">FALSE()</f>
        <v>0</v>
      </c>
      <c r="AE160" s="1" t="n">
        <f aca="false">FALSE()</f>
        <v>0</v>
      </c>
      <c r="AF160" s="1" t="n">
        <f aca="false">FALSE()</f>
        <v>0</v>
      </c>
      <c r="AG160" s="1" t="n">
        <f aca="false">FALSE()</f>
        <v>0</v>
      </c>
      <c r="AH160" s="1" t="n">
        <f aca="false">FALSE()</f>
        <v>0</v>
      </c>
      <c r="AI160" s="1" t="n">
        <f aca="false">FALSE()</f>
        <v>0</v>
      </c>
      <c r="AJ160" s="1" t="n">
        <f aca="false">FALSE()</f>
        <v>0</v>
      </c>
      <c r="AK160" s="1" t="n">
        <f aca="false" t="array" ref="AK160:AK160">SUM(IF(Q160:U160,1,0))</f>
        <v>5</v>
      </c>
      <c r="AL160" s="14" t="n">
        <f aca="false" t="array" ref="AL160:AL160">SUM(IF(V160:Z160,1,0))</f>
        <v>5</v>
      </c>
      <c r="AM160" s="14" t="n">
        <f aca="false" t="array" ref="AM160:AM160">SUM(IF(AA160:AE160,1,0))</f>
        <v>0</v>
      </c>
      <c r="AN160" s="14" t="n">
        <f aca="false" t="array" ref="AN160:AN160">SUM(IF(AF160:AJ160,1,0))</f>
        <v>0</v>
      </c>
      <c r="AO160" s="1" t="n">
        <f aca="false">FALSE()</f>
        <v>0</v>
      </c>
      <c r="AP160" s="1" t="n">
        <f aca="false">IF(O160 = 2,COUNTIF(Q160:AJ160,"TRUE"),-1)</f>
        <v>10</v>
      </c>
    </row>
    <row r="161" customFormat="false" ht="15.75" hidden="false" customHeight="false" outlineLevel="0" collapsed="false">
      <c r="A161" s="15" t="e">
        <f aca="true">INDIRECT("'Ответы на форму (1)'!A"&amp;$N161,TRUE())</f>
        <v>#REF!</v>
      </c>
      <c r="B161" s="16" t="e">
        <f aca="true">INDIRECT("'Ответы на форму (1)'!B"&amp;$N161,TRUE())</f>
        <v>#REF!</v>
      </c>
      <c r="C161" s="16" t="e">
        <f aca="true">INDIRECT("'Ответы на форму (1)'!C"&amp;$N161,TRUE())</f>
        <v>#REF!</v>
      </c>
      <c r="D161" s="16" t="e">
        <f aca="true">INDIRECT("'Ответы на форму (1)'!D"&amp;$N161,TRUE())</f>
        <v>#REF!</v>
      </c>
      <c r="E161" s="16" t="n">
        <f aca="false">IFERROR(__xludf.dummyfunction("iferror(VALUE(REGEXEXTRACT(TEXT(INDIRECT(""'Ответы на форму (1)'!E""&amp;$N161,TRUE),""####""),""[0-9]+"")),IF(IFERROR(SEARCH(""моцро"",INDIRECT(""'Ответы на форму (1)'!E""&amp;$N161,TRUE)),-1) &gt;= 0,117,INDIRECT(""'Ответы на форму (1)'!E""&amp;$N161,TRUE)))"),74)</f>
        <v>74</v>
      </c>
      <c r="F161" s="16" t="e">
        <f aca="true">INDIRECT("'Ответы на форму (1)'!F"&amp;$N161,TRUE())</f>
        <v>#REF!</v>
      </c>
      <c r="G161" s="17" t="e">
        <f aca="true">IFERROR(MID(INDIRECT("'Ответы на форму (1)'!G"&amp;$N161,TRUE()),SEARCH("vk.com",INDIRECT("'Ответы на форму (1)'!G"&amp;$N161,TRUE())),LEN(INDIRECT("'Ответы на форму (1)'!G"&amp;$N161,TRUE()))),INDIRECT("'Ответы на форму (1)'!G"&amp;$N161,TRUE()))</f>
        <v>#REF!</v>
      </c>
      <c r="H161" s="16" t="e">
        <f aca="true">INDIRECT("'Ответы на форму (1)'!H"&amp;$N161,TRUE())</f>
        <v>#REF!</v>
      </c>
      <c r="I161" s="16" t="e">
        <f aca="true">INDIRECT("'Ответы на форму (1)'!I"&amp;$N161,TRUE())</f>
        <v>#REF!</v>
      </c>
      <c r="J161" s="16" t="e">
        <f aca="true">INDIRECT("'Ответы на форму (1)'!J"&amp;$N161,TRUE())</f>
        <v>#REF!</v>
      </c>
      <c r="K161" s="16" t="e">
        <f aca="true">INDIRECT("'Ответы на форму (1)'!K"&amp;$N161,TRUE())</f>
        <v>#REF!</v>
      </c>
      <c r="L161" s="16" t="e">
        <f aca="true">INDIRECT("'Ответы на форму (1)'!L"&amp;$N161,TRUE())</f>
        <v>#REF!</v>
      </c>
      <c r="M161" s="16" t="e">
        <f aca="false" t="array" ref="M161:M161">IF(B161 &lt;&gt; "",IF(COUNTIF(concat(TRIM('Список прошлого года'!$B$2:$B$200),TRIM('Список прошлого года'!$C$2:$C$200)),concat(TRIM(B161),TRIM(C161))) &gt; 0,"Да","Нет"),"")</f>
        <v>#REF!</v>
      </c>
      <c r="N161" s="19" t="n">
        <v>184</v>
      </c>
      <c r="O161" s="19" t="n">
        <v>2</v>
      </c>
      <c r="P161" s="16"/>
      <c r="Q161" s="19" t="n">
        <f aca="false">TRUE()</f>
        <v>1</v>
      </c>
      <c r="R161" s="19" t="n">
        <f aca="false">TRUE()</f>
        <v>1</v>
      </c>
      <c r="S161" s="19" t="n">
        <f aca="false">TRUE()</f>
        <v>1</v>
      </c>
      <c r="T161" s="19" t="n">
        <f aca="false">TRUE()</f>
        <v>1</v>
      </c>
      <c r="U161" s="19" t="n">
        <f aca="false">TRUE()</f>
        <v>1</v>
      </c>
      <c r="V161" s="19" t="n">
        <f aca="false">TRUE()</f>
        <v>1</v>
      </c>
      <c r="W161" s="19" t="n">
        <f aca="false">TRUE()</f>
        <v>1</v>
      </c>
      <c r="X161" s="19" t="n">
        <f aca="false">TRUE()</f>
        <v>1</v>
      </c>
      <c r="Y161" s="19" t="n">
        <f aca="false">TRUE()</f>
        <v>1</v>
      </c>
      <c r="Z161" s="19" t="n">
        <f aca="false">TRUE()</f>
        <v>1</v>
      </c>
      <c r="AA161" s="19" t="n">
        <f aca="false">TRUE()</f>
        <v>1</v>
      </c>
      <c r="AB161" s="19" t="n">
        <f aca="false">TRUE()</f>
        <v>1</v>
      </c>
      <c r="AC161" s="19" t="n">
        <f aca="false">TRUE()</f>
        <v>1</v>
      </c>
      <c r="AD161" s="19" t="n">
        <f aca="false">TRUE()</f>
        <v>1</v>
      </c>
      <c r="AE161" s="19" t="n">
        <f aca="false">FALSE()</f>
        <v>0</v>
      </c>
      <c r="AF161" s="19" t="n">
        <f aca="false">TRUE()</f>
        <v>1</v>
      </c>
      <c r="AG161" s="19" t="n">
        <f aca="false">TRUE()</f>
        <v>1</v>
      </c>
      <c r="AH161" s="19" t="n">
        <f aca="false">TRUE()</f>
        <v>1</v>
      </c>
      <c r="AI161" s="19" t="n">
        <f aca="false">FALSE()</f>
        <v>0</v>
      </c>
      <c r="AJ161" s="19" t="n">
        <f aca="false">FALSE()</f>
        <v>0</v>
      </c>
      <c r="AK161" s="19" t="n">
        <f aca="false" t="array" ref="AK161:AK161">SUM(IF(Q161:U161,1,0))</f>
        <v>5</v>
      </c>
      <c r="AL161" s="20" t="n">
        <f aca="false" t="array" ref="AL161:AL161">SUM(IF(V161:Z161,1,0))</f>
        <v>5</v>
      </c>
      <c r="AM161" s="20" t="n">
        <f aca="false" t="array" ref="AM161:AM161">SUM(IF(AA161:AE161,1,0))</f>
        <v>4</v>
      </c>
      <c r="AN161" s="20" t="n">
        <f aca="false" t="array" ref="AN161:AN161">SUM(IF(AF161:AJ161,1,0))</f>
        <v>3</v>
      </c>
      <c r="AO161" s="19" t="n">
        <f aca="false">TRUE()</f>
        <v>1</v>
      </c>
      <c r="AP161" s="1" t="n">
        <f aca="false">IF(O161 = 2,COUNTIF(Q161:AJ161,"TRUE"),-1)</f>
        <v>17</v>
      </c>
    </row>
    <row r="162" customFormat="false" ht="15.75" hidden="false" customHeight="false" outlineLevel="0" collapsed="false">
      <c r="A162" s="8" t="e">
        <f aca="true">INDIRECT("'Ответы на форму (1)'!A"&amp;$N162,TRUE())</f>
        <v>#REF!</v>
      </c>
      <c r="B162" s="0" t="e">
        <f aca="true">INDIRECT("'Ответы на форму (1)'!B"&amp;$N162,TRUE())</f>
        <v>#REF!</v>
      </c>
      <c r="C162" s="0" t="e">
        <f aca="true">INDIRECT("'Ответы на форму (1)'!C"&amp;$N162,TRUE())</f>
        <v>#REF!</v>
      </c>
      <c r="D162" s="0" t="e">
        <f aca="true">INDIRECT("'Ответы на форму (1)'!D"&amp;$N162,TRUE())</f>
        <v>#REF!</v>
      </c>
      <c r="E162" s="0" t="n">
        <f aca="false">IFERROR(__xludf.dummyfunction("iferror(VALUE(REGEXEXTRACT(TEXT(INDIRECT(""'Ответы на форму (1)'!E""&amp;$N162,TRUE),""####""),""[0-9]+"")),IF(IFERROR(SEARCH(""моцро"",INDIRECT(""'Ответы на форму (1)'!E""&amp;$N162,TRUE)),-1) &gt;= 0,117,INDIRECT(""'Ответы на форму (1)'!E""&amp;$N162,TRUE)))"),149)</f>
        <v>149</v>
      </c>
      <c r="F162" s="0" t="e">
        <f aca="true">INDIRECT("'Ответы на форму (1)'!F"&amp;$N162,TRUE())</f>
        <v>#REF!</v>
      </c>
      <c r="G162" s="9" t="e">
        <f aca="true">IFERROR(MID(INDIRECT("'Ответы на форму (1)'!G"&amp;$N162,TRUE()),SEARCH("vk.com",INDIRECT("'Ответы на форму (1)'!G"&amp;$N162,TRUE())),LEN(INDIRECT("'Ответы на форму (1)'!G"&amp;$N162,TRUE()))),INDIRECT("'Ответы на форму (1)'!G"&amp;$N162,TRUE()))</f>
        <v>#REF!</v>
      </c>
      <c r="H162" s="0" t="e">
        <f aca="true">INDIRECT("'Ответы на форму (1)'!H"&amp;$N162,TRUE())</f>
        <v>#REF!</v>
      </c>
      <c r="I162" s="12" t="e">
        <f aca="true">INDIRECT("'Ответы на форму (1)'!I"&amp;$N162,TRUE())</f>
        <v>#REF!</v>
      </c>
      <c r="J162" s="12" t="e">
        <f aca="true">INDIRECT("'Ответы на форму (1)'!J"&amp;$N162,TRUE())</f>
        <v>#REF!</v>
      </c>
      <c r="K162" s="12" t="e">
        <f aca="true">INDIRECT("'Ответы на форму (1)'!K"&amp;$N162,TRUE())</f>
        <v>#REF!</v>
      </c>
      <c r="L162" s="12" t="e">
        <f aca="true">INDIRECT("'Ответы на форму (1)'!L"&amp;$N162,TRUE())</f>
        <v>#REF!</v>
      </c>
      <c r="M162" s="0" t="e">
        <f aca="false" t="array" ref="M162:M162">IF(B162 &lt;&gt; "",IF(COUNTIF(concat(TRIM('Список прошлого года'!$B$2:$B$200),TRIM('Список прошлого года'!$C$2:$C$200)),concat(TRIM(B162),TRIM(C162))) &gt; 0,"Да","Нет"),"")</f>
        <v>#REF!</v>
      </c>
      <c r="N162" s="1" t="n">
        <v>185</v>
      </c>
      <c r="O162" s="1" t="n">
        <v>1</v>
      </c>
      <c r="Q162" s="1" t="n">
        <f aca="false">FALSE()</f>
        <v>0</v>
      </c>
      <c r="R162" s="1" t="n">
        <f aca="false">FALSE()</f>
        <v>0</v>
      </c>
      <c r="S162" s="1" t="n">
        <f aca="false">FALSE()</f>
        <v>0</v>
      </c>
      <c r="T162" s="1" t="n">
        <f aca="false">FALSE()</f>
        <v>0</v>
      </c>
      <c r="U162" s="1" t="n">
        <f aca="false">FALSE()</f>
        <v>0</v>
      </c>
      <c r="V162" s="1" t="n">
        <f aca="false">FALSE()</f>
        <v>0</v>
      </c>
      <c r="W162" s="1" t="n">
        <f aca="false">FALSE()</f>
        <v>0</v>
      </c>
      <c r="X162" s="1" t="n">
        <f aca="false">FALSE()</f>
        <v>0</v>
      </c>
      <c r="Y162" s="1" t="n">
        <f aca="false">FALSE()</f>
        <v>0</v>
      </c>
      <c r="Z162" s="1" t="n">
        <f aca="false">FALSE()</f>
        <v>0</v>
      </c>
      <c r="AA162" s="1" t="n">
        <f aca="false">FALSE()</f>
        <v>0</v>
      </c>
      <c r="AB162" s="1" t="n">
        <f aca="false">FALSE()</f>
        <v>0</v>
      </c>
      <c r="AC162" s="1" t="n">
        <f aca="false">FALSE()</f>
        <v>0</v>
      </c>
      <c r="AD162" s="1" t="n">
        <f aca="false">FALSE()</f>
        <v>0</v>
      </c>
      <c r="AE162" s="1" t="n">
        <f aca="false">FALSE()</f>
        <v>0</v>
      </c>
      <c r="AF162" s="1" t="n">
        <f aca="false">FALSE()</f>
        <v>0</v>
      </c>
      <c r="AG162" s="1" t="n">
        <f aca="false">FALSE()</f>
        <v>0</v>
      </c>
      <c r="AH162" s="1" t="n">
        <f aca="false">FALSE()</f>
        <v>0</v>
      </c>
      <c r="AI162" s="1" t="n">
        <f aca="false">FALSE()</f>
        <v>0</v>
      </c>
      <c r="AJ162" s="1" t="n">
        <f aca="false">FALSE()</f>
        <v>0</v>
      </c>
      <c r="AK162" s="1" t="n">
        <f aca="false" t="array" ref="AK162:AK162">SUM(IF(Q162:U162,1,0))</f>
        <v>0</v>
      </c>
      <c r="AL162" s="14" t="n">
        <f aca="false" t="array" ref="AL162:AL162">SUM(IF(V162:Z162,1,0))</f>
        <v>0</v>
      </c>
      <c r="AM162" s="14" t="n">
        <f aca="false" t="array" ref="AM162:AM162">SUM(IF(AA162:AE162,1,0))</f>
        <v>0</v>
      </c>
      <c r="AN162" s="14" t="n">
        <f aca="false" t="array" ref="AN162:AN162">SUM(IF(AF162:AJ162,1,0))</f>
        <v>0</v>
      </c>
      <c r="AO162" s="1" t="n">
        <f aca="false">FALSE()</f>
        <v>0</v>
      </c>
      <c r="AP162" s="1" t="n">
        <f aca="false">IF(O162 = 2,COUNTIF(Q162:AJ162,"TRUE"),-1)</f>
        <v>-1</v>
      </c>
    </row>
    <row r="163" customFormat="false" ht="15.75" hidden="false" customHeight="false" outlineLevel="0" collapsed="false">
      <c r="A163" s="8" t="e">
        <f aca="true">INDIRECT("'Ответы на форму (1)'!A"&amp;$N163,TRUE())</f>
        <v>#REF!</v>
      </c>
      <c r="B163" s="0" t="e">
        <f aca="true">INDIRECT("'Ответы на форму (1)'!B"&amp;$N163,TRUE())</f>
        <v>#REF!</v>
      </c>
      <c r="C163" s="0" t="e">
        <f aca="true">INDIRECT("'Ответы на форму (1)'!C"&amp;$N163,TRUE())</f>
        <v>#REF!</v>
      </c>
      <c r="D163" s="0" t="e">
        <f aca="true">INDIRECT("'Ответы на форму (1)'!D"&amp;$N163,TRUE())</f>
        <v>#REF!</v>
      </c>
      <c r="E163" s="0" t="n">
        <f aca="false">IFERROR(__xludf.dummyfunction("iferror(VALUE(REGEXEXTRACT(TEXT(INDIRECT(""'Ответы на форму (1)'!E""&amp;$N163,TRUE),""####""),""[0-9]+"")),IF(IFERROR(SEARCH(""моцро"",INDIRECT(""'Ответы на форму (1)'!E""&amp;$N163,TRUE)),-1) &gt;= 0,117,INDIRECT(""'Ответы на форму (1)'!E""&amp;$N163,TRUE)))"),63)</f>
        <v>63</v>
      </c>
      <c r="F163" s="0" t="e">
        <f aca="true">INDIRECT("'Ответы на форму (1)'!F"&amp;$N163,TRUE())</f>
        <v>#REF!</v>
      </c>
      <c r="G163" s="9" t="e">
        <f aca="true">IFERROR(MID(INDIRECT("'Ответы на форму (1)'!G"&amp;$N163,TRUE()),SEARCH("vk.com",INDIRECT("'Ответы на форму (1)'!G"&amp;$N163,TRUE())),LEN(INDIRECT("'Ответы на форму (1)'!G"&amp;$N163,TRUE()))),INDIRECT("'Ответы на форму (1)'!G"&amp;$N163,TRUE()))</f>
        <v>#REF!</v>
      </c>
      <c r="H163" s="0" t="e">
        <f aca="true">INDIRECT("'Ответы на форму (1)'!H"&amp;$N163,TRUE())</f>
        <v>#REF!</v>
      </c>
      <c r="I163" s="12" t="e">
        <f aca="true">INDIRECT("'Ответы на форму (1)'!I"&amp;$N163,TRUE())</f>
        <v>#REF!</v>
      </c>
      <c r="J163" s="12" t="e">
        <f aca="true">INDIRECT("'Ответы на форму (1)'!J"&amp;$N163,TRUE())</f>
        <v>#REF!</v>
      </c>
      <c r="K163" s="12" t="e">
        <f aca="true">INDIRECT("'Ответы на форму (1)'!K"&amp;$N163,TRUE())</f>
        <v>#REF!</v>
      </c>
      <c r="L163" s="12" t="e">
        <f aca="true">INDIRECT("'Ответы на форму (1)'!L"&amp;$N163,TRUE())</f>
        <v>#REF!</v>
      </c>
      <c r="M163" s="0" t="e">
        <f aca="false" t="array" ref="M163:M163">IF(B163 &lt;&gt; "",IF(COUNTIF(concat(TRIM('Список прошлого года'!$B$2:$B$200),TRIM('Список прошлого года'!$C$2:$C$200)),concat(TRIM(B163),TRIM(C163))) &gt; 0,"Да","Нет"),"")</f>
        <v>#REF!</v>
      </c>
      <c r="N163" s="1" t="n">
        <v>186</v>
      </c>
      <c r="O163" s="1" t="n">
        <v>2</v>
      </c>
      <c r="Q163" s="1" t="n">
        <f aca="false">TRUE()</f>
        <v>1</v>
      </c>
      <c r="R163" s="1" t="n">
        <f aca="false">TRUE()</f>
        <v>1</v>
      </c>
      <c r="S163" s="1" t="n">
        <f aca="false">FALSE()</f>
        <v>0</v>
      </c>
      <c r="T163" s="1" t="n">
        <f aca="false">TRUE()</f>
        <v>1</v>
      </c>
      <c r="U163" s="1" t="n">
        <f aca="false">TRUE()</f>
        <v>1</v>
      </c>
      <c r="V163" s="1" t="n">
        <f aca="false">TRUE()</f>
        <v>1</v>
      </c>
      <c r="W163" s="1" t="n">
        <f aca="false">TRUE()</f>
        <v>1</v>
      </c>
      <c r="X163" s="1" t="n">
        <f aca="false">FALSE()</f>
        <v>0</v>
      </c>
      <c r="Y163" s="1" t="n">
        <f aca="false">FALSE()</f>
        <v>0</v>
      </c>
      <c r="Z163" s="1" t="n">
        <f aca="false">TRUE()</f>
        <v>1</v>
      </c>
      <c r="AA163" s="1" t="n">
        <f aca="false">FALSE()</f>
        <v>0</v>
      </c>
      <c r="AB163" s="1" t="n">
        <f aca="false">FALSE()</f>
        <v>0</v>
      </c>
      <c r="AC163" s="1" t="n">
        <f aca="false">FALSE()</f>
        <v>0</v>
      </c>
      <c r="AD163" s="1" t="n">
        <f aca="false">FALSE()</f>
        <v>0</v>
      </c>
      <c r="AE163" s="1" t="n">
        <f aca="false">FALSE()</f>
        <v>0</v>
      </c>
      <c r="AF163" s="1" t="n">
        <f aca="false">FALSE()</f>
        <v>0</v>
      </c>
      <c r="AG163" s="1" t="n">
        <f aca="false">FALSE()</f>
        <v>0</v>
      </c>
      <c r="AH163" s="1" t="n">
        <f aca="false">FALSE()</f>
        <v>0</v>
      </c>
      <c r="AI163" s="1" t="n">
        <f aca="false">FALSE()</f>
        <v>0</v>
      </c>
      <c r="AJ163" s="1" t="n">
        <f aca="false">FALSE()</f>
        <v>0</v>
      </c>
      <c r="AK163" s="1" t="n">
        <f aca="false" t="array" ref="AK163:AK163">SUM(IF(Q163:U163,1,0))</f>
        <v>4</v>
      </c>
      <c r="AL163" s="14" t="n">
        <f aca="false" t="array" ref="AL163:AL163">SUM(IF(V163:Z163,1,0))</f>
        <v>3</v>
      </c>
      <c r="AM163" s="14" t="n">
        <f aca="false" t="array" ref="AM163:AM163">SUM(IF(AA163:AE163,1,0))</f>
        <v>0</v>
      </c>
      <c r="AN163" s="14" t="n">
        <f aca="false" t="array" ref="AN163:AN163">SUM(IF(AF163:AJ163,1,0))</f>
        <v>0</v>
      </c>
      <c r="AO163" s="1" t="n">
        <f aca="false">FALSE()</f>
        <v>0</v>
      </c>
      <c r="AP163" s="1" t="n">
        <f aca="false">IF(O163 = 2,COUNTIF(Q163:AJ163,"TRUE"),-1)</f>
        <v>7</v>
      </c>
    </row>
    <row r="164" customFormat="false" ht="15.75" hidden="false" customHeight="false" outlineLevel="0" collapsed="false">
      <c r="A164" s="8" t="e">
        <f aca="true">INDIRECT("'Ответы на форму (1)'!A"&amp;$N164,TRUE())</f>
        <v>#REF!</v>
      </c>
      <c r="B164" s="0" t="e">
        <f aca="true">INDIRECT("'Ответы на форму (1)'!B"&amp;$N164,TRUE())</f>
        <v>#REF!</v>
      </c>
      <c r="C164" s="0" t="e">
        <f aca="true">INDIRECT("'Ответы на форму (1)'!C"&amp;$N164,TRUE())</f>
        <v>#REF!</v>
      </c>
      <c r="D164" s="0" t="e">
        <f aca="true">INDIRECT("'Ответы на форму (1)'!D"&amp;$N164,TRUE())</f>
        <v>#REF!</v>
      </c>
      <c r="E164" s="0" t="n">
        <f aca="false">IFERROR(__xludf.dummyfunction("iferror(VALUE(REGEXEXTRACT(TEXT(INDIRECT(""'Ответы на форму (1)'!E""&amp;$N164,TRUE),""####""),""[0-9]+"")),IF(IFERROR(SEARCH(""моцро"",INDIRECT(""'Ответы на форму (1)'!E""&amp;$N164,TRUE)),-1) &gt;= 0,117,INDIRECT(""'Ответы на форму (1)'!E""&amp;$N164,TRUE)))"),117)</f>
        <v>117</v>
      </c>
      <c r="F164" s="0" t="e">
        <f aca="true">INDIRECT("'Ответы на форму (1)'!F"&amp;$N164,TRUE())</f>
        <v>#REF!</v>
      </c>
      <c r="G164" s="9" t="e">
        <f aca="true">IFERROR(MID(INDIRECT("'Ответы на форму (1)'!G"&amp;$N164,TRUE()),SEARCH("vk.com",INDIRECT("'Ответы на форму (1)'!G"&amp;$N164,TRUE())),LEN(INDIRECT("'Ответы на форму (1)'!G"&amp;$N164,TRUE()))),INDIRECT("'Ответы на форму (1)'!G"&amp;$N164,TRUE()))</f>
        <v>#REF!</v>
      </c>
      <c r="H164" s="0" t="e">
        <f aca="true">INDIRECT("'Ответы на форму (1)'!H"&amp;$N164,TRUE())</f>
        <v>#REF!</v>
      </c>
      <c r="I164" s="12" t="e">
        <f aca="true">INDIRECT("'Ответы на форму (1)'!I"&amp;$N164,TRUE())</f>
        <v>#REF!</v>
      </c>
      <c r="J164" s="12" t="e">
        <f aca="true">INDIRECT("'Ответы на форму (1)'!J"&amp;$N164,TRUE())</f>
        <v>#REF!</v>
      </c>
      <c r="K164" s="12" t="e">
        <f aca="true">INDIRECT("'Ответы на форму (1)'!K"&amp;$N164,TRUE())</f>
        <v>#REF!</v>
      </c>
      <c r="L164" s="12" t="e">
        <f aca="true">INDIRECT("'Ответы на форму (1)'!L"&amp;$N164,TRUE())</f>
        <v>#REF!</v>
      </c>
      <c r="M164" s="0" t="e">
        <f aca="false" t="array" ref="M164:M164">IF(B164 &lt;&gt; "",IF(COUNTIF(concat(TRIM('Список прошлого года'!$B$2:$B$200),TRIM('Список прошлого года'!$C$2:$C$200)),concat(TRIM(B164),TRIM(C164))) &gt; 0,"Да","Нет"),"")</f>
        <v>#REF!</v>
      </c>
      <c r="N164" s="1" t="n">
        <v>187</v>
      </c>
      <c r="O164" s="1" t="n">
        <v>2</v>
      </c>
      <c r="Q164" s="1" t="n">
        <f aca="false">TRUE()</f>
        <v>1</v>
      </c>
      <c r="R164" s="1" t="n">
        <f aca="false">TRUE()</f>
        <v>1</v>
      </c>
      <c r="S164" s="1" t="n">
        <f aca="false">TRUE()</f>
        <v>1</v>
      </c>
      <c r="T164" s="1" t="n">
        <f aca="false">TRUE()</f>
        <v>1</v>
      </c>
      <c r="U164" s="1" t="n">
        <f aca="false">TRUE()</f>
        <v>1</v>
      </c>
      <c r="V164" s="1" t="n">
        <f aca="false">TRUE()</f>
        <v>1</v>
      </c>
      <c r="W164" s="1" t="n">
        <f aca="false">TRUE()</f>
        <v>1</v>
      </c>
      <c r="X164" s="1" t="n">
        <f aca="false">TRUE()</f>
        <v>1</v>
      </c>
      <c r="Y164" s="1" t="n">
        <f aca="false">TRUE()</f>
        <v>1</v>
      </c>
      <c r="Z164" s="1" t="n">
        <f aca="false">TRUE()</f>
        <v>1</v>
      </c>
      <c r="AA164" s="1" t="n">
        <f aca="false">TRUE()</f>
        <v>1</v>
      </c>
      <c r="AB164" s="1" t="n">
        <f aca="false">TRUE()</f>
        <v>1</v>
      </c>
      <c r="AC164" s="1" t="n">
        <f aca="false">TRUE()</f>
        <v>1</v>
      </c>
      <c r="AD164" s="1" t="n">
        <f aca="false">TRUE()</f>
        <v>1</v>
      </c>
      <c r="AE164" s="1" t="n">
        <f aca="false">TRUE()</f>
        <v>1</v>
      </c>
      <c r="AF164" s="1" t="n">
        <f aca="false">TRUE()</f>
        <v>1</v>
      </c>
      <c r="AG164" s="1" t="n">
        <f aca="false">FALSE()</f>
        <v>0</v>
      </c>
      <c r="AH164" s="1" t="n">
        <f aca="false">TRUE()</f>
        <v>1</v>
      </c>
      <c r="AI164" s="1" t="n">
        <f aca="false">FALSE()</f>
        <v>0</v>
      </c>
      <c r="AJ164" s="1" t="n">
        <f aca="false">TRUE()</f>
        <v>1</v>
      </c>
      <c r="AK164" s="1" t="n">
        <f aca="false" t="array" ref="AK164:AK164">SUM(IF(Q164:U164,1,0))</f>
        <v>5</v>
      </c>
      <c r="AL164" s="14" t="n">
        <f aca="false" t="array" ref="AL164:AL164">SUM(IF(V164:Z164,1,0))</f>
        <v>5</v>
      </c>
      <c r="AM164" s="14" t="n">
        <f aca="false" t="array" ref="AM164:AM164">SUM(IF(AA164:AE164,1,0))</f>
        <v>5</v>
      </c>
      <c r="AN164" s="14" t="n">
        <f aca="false" t="array" ref="AN164:AN164">SUM(IF(AF164:AJ164,1,0))</f>
        <v>3</v>
      </c>
      <c r="AO164" s="1" t="n">
        <f aca="false">FALSE()</f>
        <v>0</v>
      </c>
      <c r="AP164" s="1" t="n">
        <f aca="false">IF(O164 = 2,COUNTIF(Q164:AJ164,"TRUE"),-1)</f>
        <v>18</v>
      </c>
    </row>
    <row r="165" customFormat="false" ht="15.75" hidden="false" customHeight="false" outlineLevel="0" collapsed="false">
      <c r="A165" s="15" t="e">
        <f aca="true">INDIRECT("'Ответы на форму (1)'!A"&amp;$N165,TRUE())</f>
        <v>#REF!</v>
      </c>
      <c r="B165" s="16" t="e">
        <f aca="true">INDIRECT("'Ответы на форму (1)'!B"&amp;$N165,TRUE())</f>
        <v>#REF!</v>
      </c>
      <c r="C165" s="16" t="e">
        <f aca="true">INDIRECT("'Ответы на форму (1)'!C"&amp;$N165,TRUE())</f>
        <v>#REF!</v>
      </c>
      <c r="D165" s="16" t="e">
        <f aca="true">INDIRECT("'Ответы на форму (1)'!D"&amp;$N165,TRUE())</f>
        <v>#REF!</v>
      </c>
      <c r="E165" s="16" t="n">
        <f aca="false">IFERROR(__xludf.dummyfunction("iferror(VALUE(REGEXEXTRACT(TEXT(INDIRECT(""'Ответы на форму (1)'!E""&amp;$N165,TRUE),""####""),""[0-9]+"")),IF(IFERROR(SEARCH(""моцро"",INDIRECT(""'Ответы на форму (1)'!E""&amp;$N165,TRUE)),-1) &gt;= 0,117,INDIRECT(""'Ответы на форму (1)'!E""&amp;$N165,TRUE)))"),64)</f>
        <v>64</v>
      </c>
      <c r="F165" s="16" t="e">
        <f aca="true">INDIRECT("'Ответы на форму (1)'!F"&amp;$N165,TRUE())</f>
        <v>#REF!</v>
      </c>
      <c r="G165" s="17" t="e">
        <f aca="true">IFERROR(MID(INDIRECT("'Ответы на форму (1)'!G"&amp;$N165,TRUE()),SEARCH("vk.com",INDIRECT("'Ответы на форму (1)'!G"&amp;$N165,TRUE())),LEN(INDIRECT("'Ответы на форму (1)'!G"&amp;$N165,TRUE()))),INDIRECT("'Ответы на форму (1)'!G"&amp;$N165,TRUE()))</f>
        <v>#REF!</v>
      </c>
      <c r="H165" s="16" t="e">
        <f aca="true">INDIRECT("'Ответы на форму (1)'!H"&amp;$N165,TRUE())</f>
        <v>#REF!</v>
      </c>
      <c r="I165" s="16" t="e">
        <f aca="true">INDIRECT("'Ответы на форму (1)'!I"&amp;$N165,TRUE())</f>
        <v>#REF!</v>
      </c>
      <c r="J165" s="16" t="e">
        <f aca="true">INDIRECT("'Ответы на форму (1)'!J"&amp;$N165,TRUE())</f>
        <v>#REF!</v>
      </c>
      <c r="K165" s="16" t="e">
        <f aca="true">INDIRECT("'Ответы на форму (1)'!K"&amp;$N165,TRUE())</f>
        <v>#REF!</v>
      </c>
      <c r="L165" s="16" t="e">
        <f aca="true">INDIRECT("'Ответы на форму (1)'!L"&amp;$N165,TRUE())</f>
        <v>#REF!</v>
      </c>
      <c r="M165" s="16" t="e">
        <f aca="false" t="array" ref="M165:M165">IF(B165 &lt;&gt; "",IF(COUNTIF(concat(TRIM('Список прошлого года'!$B$2:$B$200),TRIM('Список прошлого года'!$C$2:$C$200)),concat(TRIM(B165),TRIM(C165))) &gt; 0,"Да","Нет"),"")</f>
        <v>#REF!</v>
      </c>
      <c r="N165" s="19" t="n">
        <v>188</v>
      </c>
      <c r="O165" s="19" t="n">
        <v>2</v>
      </c>
      <c r="P165" s="16"/>
      <c r="Q165" s="19" t="n">
        <f aca="false">TRUE()</f>
        <v>1</v>
      </c>
      <c r="R165" s="19" t="n">
        <f aca="false">TRUE()</f>
        <v>1</v>
      </c>
      <c r="S165" s="19" t="n">
        <f aca="false">TRUE()</f>
        <v>1</v>
      </c>
      <c r="T165" s="19" t="n">
        <f aca="false">TRUE()</f>
        <v>1</v>
      </c>
      <c r="U165" s="19" t="n">
        <f aca="false">TRUE()</f>
        <v>1</v>
      </c>
      <c r="V165" s="19" t="n">
        <f aca="false">TRUE()</f>
        <v>1</v>
      </c>
      <c r="W165" s="19" t="n">
        <f aca="false">TRUE()</f>
        <v>1</v>
      </c>
      <c r="X165" s="19" t="n">
        <f aca="false">TRUE()</f>
        <v>1</v>
      </c>
      <c r="Y165" s="19" t="n">
        <f aca="false">TRUE()</f>
        <v>1</v>
      </c>
      <c r="Z165" s="19" t="n">
        <f aca="false">FALSE()</f>
        <v>0</v>
      </c>
      <c r="AA165" s="19" t="n">
        <f aca="false">TRUE()</f>
        <v>1</v>
      </c>
      <c r="AB165" s="19" t="n">
        <f aca="false">TRUE()</f>
        <v>1</v>
      </c>
      <c r="AC165" s="19" t="n">
        <f aca="false">TRUE()</f>
        <v>1</v>
      </c>
      <c r="AD165" s="19" t="n">
        <f aca="false">TRUE()</f>
        <v>1</v>
      </c>
      <c r="AE165" s="19" t="n">
        <f aca="false">FALSE()</f>
        <v>0</v>
      </c>
      <c r="AF165" s="19" t="n">
        <f aca="false">TRUE()</f>
        <v>1</v>
      </c>
      <c r="AG165" s="19" t="n">
        <f aca="false">FALSE()</f>
        <v>0</v>
      </c>
      <c r="AH165" s="19" t="n">
        <f aca="false">FALSE()</f>
        <v>0</v>
      </c>
      <c r="AI165" s="19" t="n">
        <f aca="false">TRUE()</f>
        <v>1</v>
      </c>
      <c r="AJ165" s="19" t="n">
        <f aca="false">TRUE()</f>
        <v>1</v>
      </c>
      <c r="AK165" s="19" t="n">
        <f aca="false" t="array" ref="AK165:AK165">SUM(IF(Q165:U165,1,0))</f>
        <v>5</v>
      </c>
      <c r="AL165" s="20" t="n">
        <f aca="false" t="array" ref="AL165:AL165">SUM(IF(V165:Z165,1,0))</f>
        <v>4</v>
      </c>
      <c r="AM165" s="20" t="n">
        <f aca="false" t="array" ref="AM165:AM165">SUM(IF(AA165:AE165,1,0))</f>
        <v>4</v>
      </c>
      <c r="AN165" s="20" t="n">
        <f aca="false" t="array" ref="AN165:AN165">SUM(IF(AF165:AJ165,1,0))</f>
        <v>3</v>
      </c>
      <c r="AO165" s="19" t="n">
        <f aca="false">TRUE()</f>
        <v>1</v>
      </c>
      <c r="AP165" s="1" t="n">
        <f aca="false">IF(O165 = 2,COUNTIF(Q165:AJ165,"TRUE"),-1)</f>
        <v>16</v>
      </c>
    </row>
    <row r="166" customFormat="false" ht="15.75" hidden="false" customHeight="false" outlineLevel="0" collapsed="false">
      <c r="A166" s="8" t="e">
        <f aca="true">INDIRECT("'Ответы на форму (1)'!A"&amp;$N166,TRUE())</f>
        <v>#REF!</v>
      </c>
      <c r="B166" s="0" t="e">
        <f aca="true">INDIRECT("'Ответы на форму (1)'!B"&amp;$N166,TRUE())</f>
        <v>#REF!</v>
      </c>
      <c r="C166" s="0" t="e">
        <f aca="true">INDIRECT("'Ответы на форму (1)'!C"&amp;$N166,TRUE())</f>
        <v>#REF!</v>
      </c>
      <c r="D166" s="0" t="e">
        <f aca="true">INDIRECT("'Ответы на форму (1)'!D"&amp;$N166,TRUE())</f>
        <v>#REF!</v>
      </c>
      <c r="E166" s="0" t="n">
        <f aca="false">IFERROR(__xludf.dummyfunction("iferror(VALUE(REGEXEXTRACT(TEXT(INDIRECT(""'Ответы на форму (1)'!E""&amp;$N166,TRUE),""####""),""[0-9]+"")),IF(IFERROR(SEARCH(""моцро"",INDIRECT(""'Ответы на форму (1)'!E""&amp;$N166,TRUE)),-1) &gt;= 0,117,INDIRECT(""'Ответы на форму (1)'!E""&amp;$N166,TRUE)))"),56)</f>
        <v>56</v>
      </c>
      <c r="F166" s="0" t="e">
        <f aca="true">INDIRECT("'Ответы на форму (1)'!F"&amp;$N166,TRUE())</f>
        <v>#REF!</v>
      </c>
      <c r="G166" s="9" t="e">
        <f aca="true">IFERROR(MID(INDIRECT("'Ответы на форму (1)'!G"&amp;$N166,TRUE()),SEARCH("vk.com",INDIRECT("'Ответы на форму (1)'!G"&amp;$N166,TRUE())),LEN(INDIRECT("'Ответы на форму (1)'!G"&amp;$N166,TRUE()))),INDIRECT("'Ответы на форму (1)'!G"&amp;$N166,TRUE()))</f>
        <v>#REF!</v>
      </c>
      <c r="H166" s="0" t="e">
        <f aca="true">INDIRECT("'Ответы на форму (1)'!H"&amp;$N166,TRUE())</f>
        <v>#REF!</v>
      </c>
      <c r="I166" s="12" t="e">
        <f aca="true">INDIRECT("'Ответы на форму (1)'!I"&amp;$N166,TRUE())</f>
        <v>#REF!</v>
      </c>
      <c r="J166" s="12" t="e">
        <f aca="true">INDIRECT("'Ответы на форму (1)'!J"&amp;$N166,TRUE())</f>
        <v>#REF!</v>
      </c>
      <c r="K166" s="12" t="e">
        <f aca="true">INDIRECT("'Ответы на форму (1)'!K"&amp;$N166,TRUE())</f>
        <v>#REF!</v>
      </c>
      <c r="L166" s="12" t="e">
        <f aca="true">INDIRECT("'Ответы на форму (1)'!L"&amp;$N166,TRUE())</f>
        <v>#REF!</v>
      </c>
      <c r="M166" s="0" t="e">
        <f aca="false" t="array" ref="M166:M166">IF(B166 &lt;&gt; "",IF(COUNTIF(concat(TRIM('Список прошлого года'!$B$2:$B$200),TRIM('Список прошлого года'!$C$2:$C$200)),concat(TRIM(B166),TRIM(C166))) &gt; 0,"Да","Нет"),"")</f>
        <v>#REF!</v>
      </c>
      <c r="N166" s="1" t="n">
        <v>189</v>
      </c>
      <c r="O166" s="1" t="n">
        <v>2</v>
      </c>
      <c r="Q166" s="1" t="n">
        <f aca="false">TRUE()</f>
        <v>1</v>
      </c>
      <c r="R166" s="1" t="n">
        <f aca="false">TRUE()</f>
        <v>1</v>
      </c>
      <c r="S166" s="1" t="n">
        <f aca="false">TRUE()</f>
        <v>1</v>
      </c>
      <c r="T166" s="1" t="n">
        <f aca="false">TRUE()</f>
        <v>1</v>
      </c>
      <c r="U166" s="1" t="n">
        <f aca="false">TRUE()</f>
        <v>1</v>
      </c>
      <c r="V166" s="1" t="n">
        <f aca="false">TRUE()</f>
        <v>1</v>
      </c>
      <c r="W166" s="1" t="n">
        <f aca="false">TRUE()</f>
        <v>1</v>
      </c>
      <c r="X166" s="1" t="n">
        <f aca="false">TRUE()</f>
        <v>1</v>
      </c>
      <c r="Y166" s="1" t="n">
        <f aca="false">TRUE()</f>
        <v>1</v>
      </c>
      <c r="Z166" s="1" t="n">
        <f aca="false">TRUE()</f>
        <v>1</v>
      </c>
      <c r="AA166" s="1" t="n">
        <f aca="false">TRUE()</f>
        <v>1</v>
      </c>
      <c r="AB166" s="1" t="n">
        <f aca="false">TRUE()</f>
        <v>1</v>
      </c>
      <c r="AC166" s="1" t="n">
        <f aca="false">TRUE()</f>
        <v>1</v>
      </c>
      <c r="AD166" s="1" t="n">
        <f aca="false">TRUE()</f>
        <v>1</v>
      </c>
      <c r="AE166" s="1" t="n">
        <f aca="false">TRUE()</f>
        <v>1</v>
      </c>
      <c r="AF166" s="1" t="n">
        <f aca="false">TRUE()</f>
        <v>1</v>
      </c>
      <c r="AG166" s="1" t="n">
        <f aca="false">TRUE()</f>
        <v>1</v>
      </c>
      <c r="AH166" s="1" t="n">
        <f aca="false">TRUE()</f>
        <v>1</v>
      </c>
      <c r="AI166" s="1" t="n">
        <f aca="false">TRUE()</f>
        <v>1</v>
      </c>
      <c r="AJ166" s="1" t="n">
        <f aca="false">TRUE()</f>
        <v>1</v>
      </c>
      <c r="AK166" s="1" t="n">
        <f aca="false" t="array" ref="AK166:AK166">SUM(IF(Q166:U166,1,0))</f>
        <v>5</v>
      </c>
      <c r="AL166" s="14" t="n">
        <f aca="false" t="array" ref="AL166:AL166">SUM(IF(V166:Z166,1,0))</f>
        <v>5</v>
      </c>
      <c r="AM166" s="14" t="n">
        <f aca="false" t="array" ref="AM166:AM166">SUM(IF(AA166:AE166,1,0))</f>
        <v>5</v>
      </c>
      <c r="AN166" s="14" t="n">
        <f aca="false" t="array" ref="AN166:AN166">SUM(IF(AF166:AJ166,1,0))</f>
        <v>5</v>
      </c>
      <c r="AO166" s="1" t="n">
        <f aca="false">FALSE()</f>
        <v>0</v>
      </c>
      <c r="AP166" s="1" t="n">
        <f aca="false">IF(O166 = 2,COUNTIF(Q166:AJ166,"TRUE"),-1)</f>
        <v>20</v>
      </c>
    </row>
    <row r="167" customFormat="false" ht="15.75" hidden="false" customHeight="false" outlineLevel="0" collapsed="false">
      <c r="A167" s="8" t="e">
        <f aca="true">INDIRECT("'Ответы на форму (1)'!A"&amp;$N167,TRUE())</f>
        <v>#REF!</v>
      </c>
      <c r="B167" s="0" t="e">
        <f aca="true">INDIRECT("'Ответы на форму (1)'!B"&amp;$N167,TRUE())</f>
        <v>#REF!</v>
      </c>
      <c r="C167" s="0" t="e">
        <f aca="true">INDIRECT("'Ответы на форму (1)'!C"&amp;$N167,TRUE())</f>
        <v>#REF!</v>
      </c>
      <c r="D167" s="0" t="e">
        <f aca="true">INDIRECT("'Ответы на форму (1)'!D"&amp;$N167,TRUE())</f>
        <v>#REF!</v>
      </c>
      <c r="E167" s="0" t="n">
        <f aca="false">IFERROR(__xludf.dummyfunction("iferror(VALUE(REGEXEXTRACT(TEXT(INDIRECT(""'Ответы на форму (1)'!E""&amp;$N167,TRUE),""####""),""[0-9]+"")),IF(IFERROR(SEARCH(""моцро"",INDIRECT(""'Ответы на форму (1)'!E""&amp;$N167,TRUE)),-1) &gt;= 0,117,INDIRECT(""'Ответы на форму (1)'!E""&amp;$N167,TRUE)))"),149)</f>
        <v>149</v>
      </c>
      <c r="F167" s="0" t="e">
        <f aca="true">INDIRECT("'Ответы на форму (1)'!F"&amp;$N167,TRUE())</f>
        <v>#REF!</v>
      </c>
      <c r="G167" s="0" t="e">
        <f aca="true">IFERROR(MID(INDIRECT("'Ответы на форму (1)'!G"&amp;$N167,TRUE()),SEARCH("vk.com",INDIRECT("'Ответы на форму (1)'!G"&amp;$N167,TRUE())),LEN(INDIRECT("'Ответы на форму (1)'!G"&amp;$N167,TRUE()))),INDIRECT("'Ответы на форму (1)'!G"&amp;$N167,TRUE()))</f>
        <v>#REF!</v>
      </c>
      <c r="H167" s="0" t="e">
        <f aca="true">INDIRECT("'Ответы на форму (1)'!H"&amp;$N167,TRUE())</f>
        <v>#REF!</v>
      </c>
      <c r="I167" s="12" t="e">
        <f aca="true">INDIRECT("'Ответы на форму (1)'!I"&amp;$N167,TRUE())</f>
        <v>#REF!</v>
      </c>
      <c r="J167" s="12" t="e">
        <f aca="true">INDIRECT("'Ответы на форму (1)'!J"&amp;$N167,TRUE())</f>
        <v>#REF!</v>
      </c>
      <c r="K167" s="12" t="e">
        <f aca="true">INDIRECT("'Ответы на форму (1)'!K"&amp;$N167,TRUE())</f>
        <v>#REF!</v>
      </c>
      <c r="L167" s="12" t="e">
        <f aca="true">INDIRECT("'Ответы на форму (1)'!L"&amp;$N167,TRUE())</f>
        <v>#REF!</v>
      </c>
      <c r="M167" s="0" t="e">
        <f aca="false" t="array" ref="M167:M167">IF(B167 &lt;&gt; "",IF(COUNTIF(concat(TRIM('Список прошлого года'!$B$2:$B$200),TRIM('Список прошлого года'!$C$2:$C$200)),concat(TRIM(B167),TRIM(C167))) &gt; 0,"Да","Нет"),"")</f>
        <v>#REF!</v>
      </c>
      <c r="N167" s="1" t="n">
        <v>190</v>
      </c>
      <c r="O167" s="1" t="n">
        <f aca="false">IF(NOT(ISBLANK(B167)), 0,"")</f>
        <v>0</v>
      </c>
      <c r="Q167" s="1" t="n">
        <f aca="false">FALSE()</f>
        <v>0</v>
      </c>
      <c r="R167" s="1" t="n">
        <f aca="false">FALSE()</f>
        <v>0</v>
      </c>
      <c r="S167" s="1" t="n">
        <f aca="false">FALSE()</f>
        <v>0</v>
      </c>
      <c r="T167" s="1" t="n">
        <f aca="false">FALSE()</f>
        <v>0</v>
      </c>
      <c r="U167" s="1" t="n">
        <f aca="false">FALSE()</f>
        <v>0</v>
      </c>
      <c r="V167" s="1" t="n">
        <f aca="false">TRUE()</f>
        <v>1</v>
      </c>
      <c r="W167" s="1" t="n">
        <f aca="false">TRUE()</f>
        <v>1</v>
      </c>
      <c r="X167" s="1" t="n">
        <f aca="false">TRUE()</f>
        <v>1</v>
      </c>
      <c r="Y167" s="1" t="n">
        <f aca="false">TRUE()</f>
        <v>1</v>
      </c>
      <c r="Z167" s="1" t="n">
        <f aca="false">TRUE()</f>
        <v>1</v>
      </c>
      <c r="AA167" s="1" t="n">
        <f aca="false">FALSE()</f>
        <v>0</v>
      </c>
      <c r="AB167" s="1" t="n">
        <f aca="false">TRUE()</f>
        <v>1</v>
      </c>
      <c r="AC167" s="1" t="n">
        <f aca="false">FALSE()</f>
        <v>0</v>
      </c>
      <c r="AD167" s="1" t="n">
        <f aca="false">FALSE()</f>
        <v>0</v>
      </c>
      <c r="AE167" s="1" t="n">
        <f aca="false">FALSE()</f>
        <v>0</v>
      </c>
      <c r="AF167" s="1" t="n">
        <f aca="false">TRUE()</f>
        <v>1</v>
      </c>
      <c r="AG167" s="1" t="n">
        <f aca="false">TRUE()</f>
        <v>1</v>
      </c>
      <c r="AH167" s="1" t="n">
        <f aca="false">TRUE()</f>
        <v>1</v>
      </c>
      <c r="AI167" s="1" t="n">
        <f aca="false">TRUE()</f>
        <v>1</v>
      </c>
      <c r="AJ167" s="1" t="n">
        <f aca="false">TRUE()</f>
        <v>1</v>
      </c>
      <c r="AK167" s="1" t="n">
        <f aca="false" t="array" ref="AK167:AK167">SUM(IF(Q167:U167,1,0))</f>
        <v>0</v>
      </c>
      <c r="AL167" s="14" t="n">
        <f aca="false" t="array" ref="AL167:AL167">SUM(IF(V167:Z167,1,0))</f>
        <v>5</v>
      </c>
      <c r="AM167" s="14" t="n">
        <f aca="false" t="array" ref="AM167:AM167">SUM(IF(AA167:AE167,1,0))</f>
        <v>1</v>
      </c>
      <c r="AN167" s="14" t="n">
        <f aca="false" t="array" ref="AN167:AN167">SUM(IF(AF167:AJ167,1,0))</f>
        <v>5</v>
      </c>
      <c r="AO167" s="1" t="n">
        <f aca="false">FALSE()</f>
        <v>0</v>
      </c>
      <c r="AP167" s="1" t="n">
        <f aca="false">IF(O167 = 2,COUNTIF(Q167:AJ167,"TRUE"),-1)</f>
        <v>-1</v>
      </c>
    </row>
    <row r="168" customFormat="false" ht="15.75" hidden="false" customHeight="false" outlineLevel="0" collapsed="false">
      <c r="A168" s="8" t="e">
        <f aca="true">INDIRECT("'Ответы на форму (1)'!A"&amp;$N168,TRUE())</f>
        <v>#REF!</v>
      </c>
      <c r="B168" s="0" t="e">
        <f aca="true">INDIRECT("'Ответы на форму (1)'!B"&amp;$N168,TRUE())</f>
        <v>#REF!</v>
      </c>
      <c r="C168" s="0" t="e">
        <f aca="true">INDIRECT("'Ответы на форму (1)'!C"&amp;$N168,TRUE())</f>
        <v>#REF!</v>
      </c>
      <c r="D168" s="0" t="e">
        <f aca="true">INDIRECT("'Ответы на форму (1)'!D"&amp;$N168,TRUE())</f>
        <v>#REF!</v>
      </c>
      <c r="E168" s="0" t="n">
        <f aca="false">IFERROR(__xludf.dummyfunction("iferror(VALUE(REGEXEXTRACT(TEXT(INDIRECT(""'Ответы на форму (1)'!E""&amp;$N168,TRUE),""####""),""[0-9]+"")),IF(IFERROR(SEARCH(""моцро"",INDIRECT(""'Ответы на форму (1)'!E""&amp;$N168,TRUE)),-1) &gt;= 0,117,INDIRECT(""'Ответы на форму (1)'!E""&amp;$N168,TRUE)))"),139)</f>
        <v>139</v>
      </c>
      <c r="F168" s="0" t="e">
        <f aca="true">INDIRECT("'Ответы на форму (1)'!F"&amp;$N168,TRUE())</f>
        <v>#REF!</v>
      </c>
      <c r="G168" s="9" t="e">
        <f aca="true">IFERROR(MID(INDIRECT("'Ответы на форму (1)'!G"&amp;$N168,TRUE()),SEARCH("vk.com",INDIRECT("'Ответы на форму (1)'!G"&amp;$N168,TRUE())),LEN(INDIRECT("'Ответы на форму (1)'!G"&amp;$N168,TRUE()))),INDIRECT("'Ответы на форму (1)'!G"&amp;$N168,TRUE()))</f>
        <v>#REF!</v>
      </c>
      <c r="H168" s="0" t="e">
        <f aca="true">INDIRECT("'Ответы на форму (1)'!H"&amp;$N168,TRUE())</f>
        <v>#REF!</v>
      </c>
      <c r="I168" s="12" t="e">
        <f aca="true">INDIRECT("'Ответы на форму (1)'!I"&amp;$N168,TRUE())</f>
        <v>#REF!</v>
      </c>
      <c r="J168" s="12" t="e">
        <f aca="true">INDIRECT("'Ответы на форму (1)'!J"&amp;$N168,TRUE())</f>
        <v>#REF!</v>
      </c>
      <c r="K168" s="12" t="e">
        <f aca="true">INDIRECT("'Ответы на форму (1)'!K"&amp;$N168,TRUE())</f>
        <v>#REF!</v>
      </c>
      <c r="L168" s="12" t="e">
        <f aca="true">INDIRECT("'Ответы на форму (1)'!L"&amp;$N168,TRUE())</f>
        <v>#REF!</v>
      </c>
      <c r="M168" s="0" t="e">
        <f aca="false" t="array" ref="M168:M168">IF(B168 &lt;&gt; "",IF(COUNTIF(concat(TRIM('Список прошлого года'!$B$2:$B$200),TRIM('Список прошлого года'!$C$2:$C$200)),concat(TRIM(B168),TRIM(C168))) &gt; 0,"Да","Нет"),"")</f>
        <v>#REF!</v>
      </c>
      <c r="N168" s="1" t="n">
        <v>191</v>
      </c>
      <c r="O168" s="1" t="n">
        <f aca="false">IF(NOT(ISBLANK(B168)), 0,"")</f>
        <v>0</v>
      </c>
      <c r="Q168" s="1" t="n">
        <f aca="false">TRUE()</f>
        <v>1</v>
      </c>
      <c r="R168" s="1" t="n">
        <f aca="false">TRUE()</f>
        <v>1</v>
      </c>
      <c r="S168" s="1" t="n">
        <f aca="false">TRUE()</f>
        <v>1</v>
      </c>
      <c r="T168" s="1" t="n">
        <f aca="false">TRUE()</f>
        <v>1</v>
      </c>
      <c r="U168" s="1" t="n">
        <f aca="false">TRUE()</f>
        <v>1</v>
      </c>
      <c r="V168" s="1" t="n">
        <f aca="false">TRUE()</f>
        <v>1</v>
      </c>
      <c r="W168" s="1" t="n">
        <f aca="false">TRUE()</f>
        <v>1</v>
      </c>
      <c r="X168" s="1" t="n">
        <f aca="false">TRUE()</f>
        <v>1</v>
      </c>
      <c r="Y168" s="1" t="n">
        <f aca="false">TRUE()</f>
        <v>1</v>
      </c>
      <c r="Z168" s="1" t="n">
        <f aca="false">TRUE()</f>
        <v>1</v>
      </c>
      <c r="AA168" s="1" t="n">
        <f aca="false">TRUE()</f>
        <v>1</v>
      </c>
      <c r="AB168" s="1" t="n">
        <f aca="false">FALSE()</f>
        <v>0</v>
      </c>
      <c r="AC168" s="1" t="n">
        <f aca="false">TRUE()</f>
        <v>1</v>
      </c>
      <c r="AD168" s="1" t="n">
        <f aca="false">TRUE()</f>
        <v>1</v>
      </c>
      <c r="AE168" s="1" t="n">
        <f aca="false">FALSE()</f>
        <v>0</v>
      </c>
      <c r="AF168" s="1" t="n">
        <f aca="false">TRUE()</f>
        <v>1</v>
      </c>
      <c r="AG168" s="1" t="n">
        <f aca="false">TRUE()</f>
        <v>1</v>
      </c>
      <c r="AH168" s="1" t="n">
        <f aca="false">TRUE()</f>
        <v>1</v>
      </c>
      <c r="AI168" s="1" t="n">
        <f aca="false">TRUE()</f>
        <v>1</v>
      </c>
      <c r="AJ168" s="1" t="n">
        <f aca="false">TRUE()</f>
        <v>1</v>
      </c>
      <c r="AK168" s="1" t="n">
        <f aca="false" t="array" ref="AK168:AK168">SUM(IF(Q168:U168,1,0))</f>
        <v>5</v>
      </c>
      <c r="AL168" s="14" t="n">
        <f aca="false" t="array" ref="AL168:AL168">SUM(IF(V168:Z168,1,0))</f>
        <v>5</v>
      </c>
      <c r="AM168" s="14" t="n">
        <f aca="false" t="array" ref="AM168:AM168">SUM(IF(AA168:AE168,1,0))</f>
        <v>3</v>
      </c>
      <c r="AN168" s="14" t="n">
        <f aca="false" t="array" ref="AN168:AN168">SUM(IF(AF168:AJ168,1,0))</f>
        <v>5</v>
      </c>
      <c r="AO168" s="1" t="n">
        <f aca="false">FALSE()</f>
        <v>0</v>
      </c>
      <c r="AP168" s="1" t="n">
        <f aca="false">IF(O168 = 2,COUNTIF(Q168:AJ168,"TRUE"),-1)</f>
        <v>-1</v>
      </c>
    </row>
    <row r="169" customFormat="false" ht="15.75" hidden="false" customHeight="false" outlineLevel="0" collapsed="false">
      <c r="A169" s="8" t="e">
        <f aca="true">INDIRECT("'Ответы на форму (1)'!A"&amp;$N169,TRUE())</f>
        <v>#REF!</v>
      </c>
      <c r="B169" s="0" t="e">
        <f aca="true">INDIRECT("'Ответы на форму (1)'!B"&amp;$N169,TRUE())</f>
        <v>#REF!</v>
      </c>
      <c r="C169" s="0" t="e">
        <f aca="true">INDIRECT("'Ответы на форму (1)'!C"&amp;$N169,TRUE())</f>
        <v>#REF!</v>
      </c>
      <c r="D169" s="0" t="e">
        <f aca="true">INDIRECT("'Ответы на форму (1)'!D"&amp;$N169,TRUE())</f>
        <v>#REF!</v>
      </c>
      <c r="E169" s="0" t="n">
        <f aca="false">IFERROR(__xludf.dummyfunction("iferror(VALUE(REGEXEXTRACT(TEXT(INDIRECT(""'Ответы на форму (1)'!E""&amp;$N169,TRUE),""####""),""[0-9]+"")),IF(IFERROR(SEARCH(""моцро"",INDIRECT(""'Ответы на форму (1)'!E""&amp;$N169,TRUE)),-1) &gt;= 0,117,INDIRECT(""'Ответы на форму (1)'!E""&amp;$N169,TRUE)))"),84)</f>
        <v>84</v>
      </c>
      <c r="F169" s="0" t="e">
        <f aca="true">INDIRECT("'Ответы на форму (1)'!F"&amp;$N169,TRUE())</f>
        <v>#REF!</v>
      </c>
      <c r="G169" s="0" t="e">
        <f aca="true">IFERROR(MID(INDIRECT("'Ответы на форму (1)'!G"&amp;$N169,TRUE()),SEARCH("vk.com",INDIRECT("'Ответы на форму (1)'!G"&amp;$N169,TRUE())),LEN(INDIRECT("'Ответы на форму (1)'!G"&amp;$N169,TRUE()))),INDIRECT("'Ответы на форму (1)'!G"&amp;$N169,TRUE()))</f>
        <v>#REF!</v>
      </c>
      <c r="H169" s="0" t="e">
        <f aca="true">INDIRECT("'Ответы на форму (1)'!H"&amp;$N169,TRUE())</f>
        <v>#REF!</v>
      </c>
      <c r="I169" s="12" t="e">
        <f aca="true">INDIRECT("'Ответы на форму (1)'!I"&amp;$N169,TRUE())</f>
        <v>#REF!</v>
      </c>
      <c r="J169" s="12" t="e">
        <f aca="true">INDIRECT("'Ответы на форму (1)'!J"&amp;$N169,TRUE())</f>
        <v>#REF!</v>
      </c>
      <c r="K169" s="12" t="e">
        <f aca="true">INDIRECT("'Ответы на форму (1)'!K"&amp;$N169,TRUE())</f>
        <v>#REF!</v>
      </c>
      <c r="L169" s="12" t="e">
        <f aca="true">INDIRECT("'Ответы на форму (1)'!L"&amp;$N169,TRUE())</f>
        <v>#REF!</v>
      </c>
      <c r="M169" s="0" t="e">
        <f aca="false" t="array" ref="M169:M169">IF(B169 &lt;&gt; "",IF(COUNTIF(concat(TRIM('Список прошлого года'!$B$2:$B$200),TRIM('Список прошлого года'!$C$2:$C$200)),concat(TRIM(B169),TRIM(C169))) &gt; 0,"Да","Нет"),"")</f>
        <v>#REF!</v>
      </c>
      <c r="N169" s="1" t="n">
        <v>192</v>
      </c>
      <c r="O169" s="1" t="n">
        <f aca="false">IF(NOT(ISBLANK(B169)), 0,"")</f>
        <v>0</v>
      </c>
      <c r="Q169" s="1" t="n">
        <f aca="false">FALSE()</f>
        <v>0</v>
      </c>
      <c r="R169" s="1" t="n">
        <f aca="false">FALSE()</f>
        <v>0</v>
      </c>
      <c r="S169" s="1" t="n">
        <f aca="false">FALSE()</f>
        <v>0</v>
      </c>
      <c r="T169" s="1" t="n">
        <f aca="false">FALSE()</f>
        <v>0</v>
      </c>
      <c r="U169" s="1" t="n">
        <f aca="false">FALSE()</f>
        <v>0</v>
      </c>
      <c r="V169" s="1" t="n">
        <f aca="false">FALSE()</f>
        <v>0</v>
      </c>
      <c r="W169" s="1" t="n">
        <f aca="false">TRUE()</f>
        <v>1</v>
      </c>
      <c r="X169" s="1" t="n">
        <f aca="false">TRUE()</f>
        <v>1</v>
      </c>
      <c r="Y169" s="1" t="n">
        <f aca="false">TRUE()</f>
        <v>1</v>
      </c>
      <c r="Z169" s="1" t="n">
        <f aca="false">TRUE()</f>
        <v>1</v>
      </c>
      <c r="AA169" s="1" t="n">
        <f aca="false">FALSE()</f>
        <v>0</v>
      </c>
      <c r="AB169" s="1" t="n">
        <f aca="false">FALSE()</f>
        <v>0</v>
      </c>
      <c r="AC169" s="1" t="n">
        <f aca="false">FALSE()</f>
        <v>0</v>
      </c>
      <c r="AD169" s="1" t="n">
        <f aca="false">FALSE()</f>
        <v>0</v>
      </c>
      <c r="AE169" s="1" t="n">
        <f aca="false">FALSE()</f>
        <v>0</v>
      </c>
      <c r="AF169" s="1" t="n">
        <f aca="false">TRUE()</f>
        <v>1</v>
      </c>
      <c r="AG169" s="1" t="n">
        <f aca="false">TRUE()</f>
        <v>1</v>
      </c>
      <c r="AH169" s="1" t="n">
        <f aca="false">TRUE()</f>
        <v>1</v>
      </c>
      <c r="AI169" s="1" t="n">
        <f aca="false">TRUE()</f>
        <v>1</v>
      </c>
      <c r="AJ169" s="1" t="n">
        <f aca="false">FALSE()</f>
        <v>0</v>
      </c>
      <c r="AK169" s="1" t="n">
        <f aca="false" t="array" ref="AK169:AK169">SUM(IF(Q169:U169,1,0))</f>
        <v>0</v>
      </c>
      <c r="AL169" s="14" t="n">
        <f aca="false" t="array" ref="AL169:AL169">SUM(IF(V169:Z169,1,0))</f>
        <v>4</v>
      </c>
      <c r="AM169" s="14" t="n">
        <f aca="false" t="array" ref="AM169:AM169">SUM(IF(AA169:AE169,1,0))</f>
        <v>0</v>
      </c>
      <c r="AN169" s="14" t="n">
        <f aca="false" t="array" ref="AN169:AN169">SUM(IF(AF169:AJ169,1,0))</f>
        <v>4</v>
      </c>
      <c r="AO169" s="1" t="n">
        <f aca="false">FALSE()</f>
        <v>0</v>
      </c>
      <c r="AP169" s="1" t="n">
        <f aca="false">IF(O169 = 2,COUNTIF(Q169:AJ169,"TRUE"),-1)</f>
        <v>-1</v>
      </c>
    </row>
    <row r="170" customFormat="false" ht="15.75" hidden="false" customHeight="false" outlineLevel="0" collapsed="false">
      <c r="A170" s="8" t="e">
        <f aca="true">INDIRECT("'Ответы на форму (1)'!A"&amp;$N170,TRUE())</f>
        <v>#REF!</v>
      </c>
      <c r="B170" s="0" t="e">
        <f aca="true">INDIRECT("'Ответы на форму (1)'!B"&amp;$N170,TRUE())</f>
        <v>#REF!</v>
      </c>
      <c r="C170" s="0" t="e">
        <f aca="true">INDIRECT("'Ответы на форму (1)'!C"&amp;$N170,TRUE())</f>
        <v>#REF!</v>
      </c>
      <c r="D170" s="0" t="e">
        <f aca="true">INDIRECT("'Ответы на форму (1)'!D"&amp;$N170,TRUE())</f>
        <v>#REF!</v>
      </c>
      <c r="E170" s="0" t="n">
        <f aca="false">IFERROR(__xludf.dummyfunction("iferror(VALUE(REGEXEXTRACT(TEXT(INDIRECT(""'Ответы на форму (1)'!E""&amp;$N170,TRUE),""####""),""[0-9]+"")),IF(IFERROR(SEARCH(""моцро"",INDIRECT(""'Ответы на форму (1)'!E""&amp;$N170,TRUE)),-1) &gt;= 0,117,INDIRECT(""'Ответы на форму (1)'!E""&amp;$N170,TRUE)))"),66)</f>
        <v>66</v>
      </c>
      <c r="F170" s="0" t="e">
        <f aca="true">INDIRECT("'Ответы на форму (1)'!F"&amp;$N170,TRUE())</f>
        <v>#REF!</v>
      </c>
      <c r="G170" s="9" t="e">
        <f aca="true">IFERROR(MID(INDIRECT("'Ответы на форму (1)'!G"&amp;$N170,TRUE()),SEARCH("vk.com",INDIRECT("'Ответы на форму (1)'!G"&amp;$N170,TRUE())),LEN(INDIRECT("'Ответы на форму (1)'!G"&amp;$N170,TRUE()))),INDIRECT("'Ответы на форму (1)'!G"&amp;$N170,TRUE()))</f>
        <v>#REF!</v>
      </c>
      <c r="H170" s="0" t="e">
        <f aca="true">INDIRECT("'Ответы на форму (1)'!H"&amp;$N170,TRUE())</f>
        <v>#REF!</v>
      </c>
      <c r="I170" s="12" t="e">
        <f aca="true">INDIRECT("'Ответы на форму (1)'!I"&amp;$N170,TRUE())</f>
        <v>#REF!</v>
      </c>
      <c r="J170" s="12" t="e">
        <f aca="true">INDIRECT("'Ответы на форму (1)'!J"&amp;$N170,TRUE())</f>
        <v>#REF!</v>
      </c>
      <c r="K170" s="12" t="e">
        <f aca="true">INDIRECT("'Ответы на форму (1)'!K"&amp;$N170,TRUE())</f>
        <v>#REF!</v>
      </c>
      <c r="L170" s="12" t="e">
        <f aca="true">INDIRECT("'Ответы на форму (1)'!L"&amp;$N170,TRUE())</f>
        <v>#REF!</v>
      </c>
      <c r="M170" s="0" t="e">
        <f aca="false" t="array" ref="M170:M170">IF(B170 &lt;&gt; "",IF(COUNTIF(concat(TRIM('Список прошлого года'!$B$2:$B$200),TRIM('Список прошлого года'!$C$2:$C$200)),concat(TRIM(B170),TRIM(C170))) &gt; 0,"Да","Нет"),"")</f>
        <v>#REF!</v>
      </c>
      <c r="N170" s="1" t="n">
        <v>193</v>
      </c>
      <c r="O170" s="1" t="n">
        <f aca="false">IF(NOT(ISBLANK(B170)), 0,"")</f>
        <v>0</v>
      </c>
      <c r="Q170" s="1" t="n">
        <f aca="false">TRUE()</f>
        <v>1</v>
      </c>
      <c r="R170" s="1" t="n">
        <f aca="false">TRUE()</f>
        <v>1</v>
      </c>
      <c r="S170" s="1" t="n">
        <f aca="false">TRUE()</f>
        <v>1</v>
      </c>
      <c r="T170" s="1" t="n">
        <f aca="false">TRUE()</f>
        <v>1</v>
      </c>
      <c r="U170" s="1" t="n">
        <f aca="false">TRUE()</f>
        <v>1</v>
      </c>
      <c r="V170" s="1" t="n">
        <f aca="false">TRUE()</f>
        <v>1</v>
      </c>
      <c r="W170" s="1" t="n">
        <f aca="false">TRUE()</f>
        <v>1</v>
      </c>
      <c r="X170" s="1" t="n">
        <f aca="false">TRUE()</f>
        <v>1</v>
      </c>
      <c r="Y170" s="1" t="n">
        <f aca="false">TRUE()</f>
        <v>1</v>
      </c>
      <c r="Z170" s="1" t="n">
        <f aca="false">TRUE()</f>
        <v>1</v>
      </c>
      <c r="AA170" s="1" t="n">
        <f aca="false">TRUE()</f>
        <v>1</v>
      </c>
      <c r="AB170" s="1" t="n">
        <f aca="false">FALSE()</f>
        <v>0</v>
      </c>
      <c r="AC170" s="1" t="n">
        <f aca="false">FALSE()</f>
        <v>0</v>
      </c>
      <c r="AD170" s="1" t="n">
        <f aca="false">FALSE()</f>
        <v>0</v>
      </c>
      <c r="AE170" s="1" t="n">
        <f aca="false">FALSE()</f>
        <v>0</v>
      </c>
      <c r="AF170" s="1" t="n">
        <f aca="false">TRUE()</f>
        <v>1</v>
      </c>
      <c r="AG170" s="1" t="n">
        <f aca="false">FALSE()</f>
        <v>0</v>
      </c>
      <c r="AH170" s="1" t="n">
        <f aca="false">FALSE()</f>
        <v>0</v>
      </c>
      <c r="AI170" s="1" t="n">
        <f aca="false">FALSE()</f>
        <v>0</v>
      </c>
      <c r="AJ170" s="1" t="n">
        <f aca="false">FALSE()</f>
        <v>0</v>
      </c>
      <c r="AK170" s="1" t="n">
        <f aca="false" t="array" ref="AK170:AK170">SUM(IF(Q170:U170,1,0))</f>
        <v>5</v>
      </c>
      <c r="AL170" s="14" t="n">
        <f aca="false" t="array" ref="AL170:AL170">SUM(IF(V170:Z170,1,0))</f>
        <v>5</v>
      </c>
      <c r="AM170" s="14" t="n">
        <f aca="false" t="array" ref="AM170:AM170">SUM(IF(AA170:AE170,1,0))</f>
        <v>1</v>
      </c>
      <c r="AN170" s="14" t="n">
        <f aca="false" t="array" ref="AN170:AN170">SUM(IF(AF170:AJ170,1,0))</f>
        <v>1</v>
      </c>
      <c r="AO170" s="1" t="n">
        <f aca="false">FALSE()</f>
        <v>0</v>
      </c>
      <c r="AP170" s="1" t="n">
        <f aca="false">IF(O170 = 2,COUNTIF(Q170:AJ170,"TRUE"),-1)</f>
        <v>-1</v>
      </c>
    </row>
    <row r="171" customFormat="false" ht="15.75" hidden="false" customHeight="false" outlineLevel="0" collapsed="false">
      <c r="A171" s="8" t="e">
        <f aca="true">INDIRECT("'Ответы на форму (1)'!A"&amp;$N171,TRUE())</f>
        <v>#REF!</v>
      </c>
      <c r="B171" s="0" t="e">
        <f aca="true">INDIRECT("'Ответы на форму (1)'!B"&amp;$N171,TRUE())</f>
        <v>#REF!</v>
      </c>
      <c r="C171" s="0" t="e">
        <f aca="true">INDIRECT("'Ответы на форму (1)'!C"&amp;$N171,TRUE())</f>
        <v>#REF!</v>
      </c>
      <c r="D171" s="0" t="e">
        <f aca="true">INDIRECT("'Ответы на форму (1)'!D"&amp;$N171,TRUE())</f>
        <v>#REF!</v>
      </c>
      <c r="E171" s="0" t="n">
        <f aca="false">IFERROR(__xludf.dummyfunction("iferror(VALUE(REGEXEXTRACT(TEXT(INDIRECT(""'Ответы на форму (1)'!E""&amp;$N171,TRUE),""####""),""[0-9]+"")),IF(IFERROR(SEARCH(""моцро"",INDIRECT(""'Ответы на форму (1)'!E""&amp;$N171,TRUE)),-1) &gt;= 0,117,INDIRECT(""'Ответы на форму (1)'!E""&amp;$N171,TRUE)))"),117)</f>
        <v>117</v>
      </c>
      <c r="F171" s="0" t="e">
        <f aca="true">INDIRECT("'Ответы на форму (1)'!F"&amp;$N171,TRUE())</f>
        <v>#REF!</v>
      </c>
      <c r="G171" s="9" t="e">
        <f aca="true">IFERROR(MID(INDIRECT("'Ответы на форму (1)'!G"&amp;$N171,TRUE()),SEARCH("vk.com",INDIRECT("'Ответы на форму (1)'!G"&amp;$N171,TRUE())),LEN(INDIRECT("'Ответы на форму (1)'!G"&amp;$N171,TRUE()))),INDIRECT("'Ответы на форму (1)'!G"&amp;$N171,TRUE()))</f>
        <v>#REF!</v>
      </c>
      <c r="H171" s="0" t="e">
        <f aca="true">INDIRECT("'Ответы на форму (1)'!H"&amp;$N171,TRUE())</f>
        <v>#REF!</v>
      </c>
      <c r="I171" s="12" t="e">
        <f aca="true">INDIRECT("'Ответы на форму (1)'!I"&amp;$N171,TRUE())</f>
        <v>#REF!</v>
      </c>
      <c r="J171" s="12" t="e">
        <f aca="true">INDIRECT("'Ответы на форму (1)'!J"&amp;$N171,TRUE())</f>
        <v>#REF!</v>
      </c>
      <c r="K171" s="12" t="e">
        <f aca="true">INDIRECT("'Ответы на форму (1)'!K"&amp;$N171,TRUE())</f>
        <v>#REF!</v>
      </c>
      <c r="L171" s="12" t="e">
        <f aca="true">INDIRECT("'Ответы на форму (1)'!L"&amp;$N171,TRUE())</f>
        <v>#REF!</v>
      </c>
      <c r="M171" s="0" t="e">
        <f aca="false" t="array" ref="M171:M171">IF(B171 &lt;&gt; "",IF(COUNTIF(concat(TRIM('Список прошлого года'!$B$2:$B$200),TRIM('Список прошлого года'!$C$2:$C$200)),concat(TRIM(B171),TRIM(C171))) &gt; 0,"Да","Нет"),"")</f>
        <v>#REF!</v>
      </c>
      <c r="N171" s="1" t="n">
        <v>194</v>
      </c>
      <c r="O171" s="1" t="n">
        <f aca="false">IF(NOT(ISBLANK(B171)), 0,"")</f>
        <v>0</v>
      </c>
      <c r="Q171" s="1" t="n">
        <f aca="false">TRUE()</f>
        <v>1</v>
      </c>
      <c r="R171" s="1" t="n">
        <f aca="false">TRUE()</f>
        <v>1</v>
      </c>
      <c r="S171" s="1" t="n">
        <f aca="false">TRUE()</f>
        <v>1</v>
      </c>
      <c r="T171" s="1" t="n">
        <f aca="false">TRUE()</f>
        <v>1</v>
      </c>
      <c r="U171" s="1" t="n">
        <f aca="false">TRUE()</f>
        <v>1</v>
      </c>
      <c r="V171" s="1" t="n">
        <f aca="false">FALSE()</f>
        <v>0</v>
      </c>
      <c r="W171" s="1" t="n">
        <f aca="false">FALSE()</f>
        <v>0</v>
      </c>
      <c r="X171" s="1" t="n">
        <f aca="false">FALSE()</f>
        <v>0</v>
      </c>
      <c r="Y171" s="1" t="n">
        <f aca="false">FALSE()</f>
        <v>0</v>
      </c>
      <c r="Z171" s="1" t="n">
        <f aca="false">FALSE()</f>
        <v>0</v>
      </c>
      <c r="AA171" s="1" t="n">
        <f aca="false">TRUE()</f>
        <v>1</v>
      </c>
      <c r="AB171" s="1" t="n">
        <f aca="false">TRUE()</f>
        <v>1</v>
      </c>
      <c r="AC171" s="1" t="n">
        <f aca="false">FALSE()</f>
        <v>0</v>
      </c>
      <c r="AD171" s="1" t="n">
        <f aca="false">FALSE()</f>
        <v>0</v>
      </c>
      <c r="AE171" s="1" t="n">
        <f aca="false">FALSE()</f>
        <v>0</v>
      </c>
      <c r="AF171" s="1" t="n">
        <f aca="false">TRUE()</f>
        <v>1</v>
      </c>
      <c r="AG171" s="1" t="n">
        <f aca="false">FALSE()</f>
        <v>0</v>
      </c>
      <c r="AH171" s="1" t="n">
        <f aca="false">FALSE()</f>
        <v>0</v>
      </c>
      <c r="AI171" s="1" t="n">
        <f aca="false">FALSE()</f>
        <v>0</v>
      </c>
      <c r="AJ171" s="1" t="n">
        <f aca="false">FALSE()</f>
        <v>0</v>
      </c>
      <c r="AK171" s="1" t="n">
        <f aca="false" t="array" ref="AK171:AK171">SUM(IF(Q171:U171,1,0))</f>
        <v>5</v>
      </c>
      <c r="AL171" s="14" t="n">
        <f aca="false" t="array" ref="AL171:AL171">SUM(IF(V171:Z171,1,0))</f>
        <v>0</v>
      </c>
      <c r="AM171" s="14" t="n">
        <f aca="false" t="array" ref="AM171:AM171">SUM(IF(AA171:AE171,1,0))</f>
        <v>2</v>
      </c>
      <c r="AN171" s="14" t="n">
        <f aca="false" t="array" ref="AN171:AN171">SUM(IF(AF171:AJ171,1,0))</f>
        <v>1</v>
      </c>
      <c r="AO171" s="1" t="n">
        <f aca="false">FALSE()</f>
        <v>0</v>
      </c>
      <c r="AP171" s="1" t="n">
        <f aca="false">IF(O171 = 2,COUNTIF(Q171:AJ171,"TRUE"),-1)</f>
        <v>-1</v>
      </c>
    </row>
    <row r="172" customFormat="false" ht="15.75" hidden="false" customHeight="false" outlineLevel="0" collapsed="false">
      <c r="A172" s="8" t="e">
        <f aca="true">INDIRECT("'Ответы на форму (1)'!A"&amp;$N172,TRUE())</f>
        <v>#REF!</v>
      </c>
      <c r="B172" s="0" t="e">
        <f aca="true">INDIRECT("'Ответы на форму (1)'!B"&amp;$N172,TRUE())</f>
        <v>#REF!</v>
      </c>
      <c r="C172" s="0" t="e">
        <f aca="true">INDIRECT("'Ответы на форму (1)'!C"&amp;$N172,TRUE())</f>
        <v>#REF!</v>
      </c>
      <c r="D172" s="0" t="e">
        <f aca="true">INDIRECT("'Ответы на форму (1)'!D"&amp;$N172,TRUE())</f>
        <v>#REF!</v>
      </c>
      <c r="E172" s="0" t="n">
        <f aca="false">IFERROR(__xludf.dummyfunction("iferror(VALUE(REGEXEXTRACT(TEXT(INDIRECT(""'Ответы на форму (1)'!E""&amp;$N172,TRUE),""####""),""[0-9]+"")),IF(IFERROR(SEARCH(""моцро"",INDIRECT(""'Ответы на форму (1)'!E""&amp;$N172,TRUE)),-1) &gt;= 0,117,INDIRECT(""'Ответы на форму (1)'!E""&amp;$N172,TRUE)))"),64)</f>
        <v>64</v>
      </c>
      <c r="F172" s="0" t="e">
        <f aca="true">INDIRECT("'Ответы на форму (1)'!F"&amp;$N172,TRUE())</f>
        <v>#REF!</v>
      </c>
      <c r="G172" s="9" t="e">
        <f aca="true">IFERROR(MID(INDIRECT("'Ответы на форму (1)'!G"&amp;$N172,TRUE()),SEARCH("vk.com",INDIRECT("'Ответы на форму (1)'!G"&amp;$N172,TRUE())),LEN(INDIRECT("'Ответы на форму (1)'!G"&amp;$N172,TRUE()))),INDIRECT("'Ответы на форму (1)'!G"&amp;$N172,TRUE()))</f>
        <v>#REF!</v>
      </c>
      <c r="H172" s="0" t="e">
        <f aca="true">INDIRECT("'Ответы на форму (1)'!H"&amp;$N172,TRUE())</f>
        <v>#REF!</v>
      </c>
      <c r="I172" s="12" t="e">
        <f aca="true">INDIRECT("'Ответы на форму (1)'!I"&amp;$N172,TRUE())</f>
        <v>#REF!</v>
      </c>
      <c r="J172" s="12" t="e">
        <f aca="true">INDIRECT("'Ответы на форму (1)'!J"&amp;$N172,TRUE())</f>
        <v>#REF!</v>
      </c>
      <c r="K172" s="12" t="e">
        <f aca="true">INDIRECT("'Ответы на форму (1)'!K"&amp;$N172,TRUE())</f>
        <v>#REF!</v>
      </c>
      <c r="L172" s="12" t="e">
        <f aca="true">INDIRECT("'Ответы на форму (1)'!L"&amp;$N172,TRUE())</f>
        <v>#REF!</v>
      </c>
      <c r="M172" s="0" t="e">
        <f aca="false" t="array" ref="M172:M172">IF(B172 &lt;&gt; "",IF(COUNTIF(concat(TRIM('Список прошлого года'!$B$2:$B$200),TRIM('Список прошлого года'!$C$2:$C$200)),concat(TRIM(B172),TRIM(C172))) &gt; 0,"Да","Нет"),"")</f>
        <v>#REF!</v>
      </c>
      <c r="N172" s="1" t="n">
        <v>195</v>
      </c>
      <c r="O172" s="1" t="n">
        <f aca="false">IF(NOT(ISBLANK(B172)), 0,"")</f>
        <v>0</v>
      </c>
      <c r="Q172" s="1" t="n">
        <f aca="false">TRUE()</f>
        <v>1</v>
      </c>
      <c r="R172" s="1" t="n">
        <f aca="false">TRUE()</f>
        <v>1</v>
      </c>
      <c r="S172" s="1" t="n">
        <f aca="false">TRUE()</f>
        <v>1</v>
      </c>
      <c r="T172" s="1" t="n">
        <f aca="false">TRUE()</f>
        <v>1</v>
      </c>
      <c r="U172" s="1" t="n">
        <f aca="false">FALSE()</f>
        <v>0</v>
      </c>
      <c r="V172" s="1" t="n">
        <f aca="false">FALSE()</f>
        <v>0</v>
      </c>
      <c r="W172" s="1" t="n">
        <f aca="false">FALSE()</f>
        <v>0</v>
      </c>
      <c r="X172" s="1" t="n">
        <f aca="false">FALSE()</f>
        <v>0</v>
      </c>
      <c r="Y172" s="1" t="n">
        <f aca="false">FALSE()</f>
        <v>0</v>
      </c>
      <c r="Z172" s="1" t="n">
        <f aca="false">FALSE()</f>
        <v>0</v>
      </c>
      <c r="AA172" s="1" t="n">
        <f aca="false">FALSE()</f>
        <v>0</v>
      </c>
      <c r="AB172" s="1" t="n">
        <f aca="false">FALSE()</f>
        <v>0</v>
      </c>
      <c r="AC172" s="1" t="n">
        <f aca="false">FALSE()</f>
        <v>0</v>
      </c>
      <c r="AD172" s="1" t="n">
        <f aca="false">FALSE()</f>
        <v>0</v>
      </c>
      <c r="AE172" s="1" t="n">
        <f aca="false">FALSE()</f>
        <v>0</v>
      </c>
      <c r="AF172" s="1" t="n">
        <f aca="false">FALSE()</f>
        <v>0</v>
      </c>
      <c r="AG172" s="1" t="n">
        <f aca="false">FALSE()</f>
        <v>0</v>
      </c>
      <c r="AH172" s="1" t="n">
        <f aca="false">FALSE()</f>
        <v>0</v>
      </c>
      <c r="AI172" s="1" t="n">
        <f aca="false">FALSE()</f>
        <v>0</v>
      </c>
      <c r="AJ172" s="1" t="n">
        <f aca="false">FALSE()</f>
        <v>0</v>
      </c>
      <c r="AK172" s="1" t="n">
        <f aca="false" t="array" ref="AK172:AK172">SUM(IF(Q172:U172,1,0))</f>
        <v>4</v>
      </c>
      <c r="AL172" s="14" t="n">
        <f aca="false" t="array" ref="AL172:AL172">SUM(IF(V172:Z172,1,0))</f>
        <v>0</v>
      </c>
      <c r="AM172" s="14" t="n">
        <f aca="false" t="array" ref="AM172:AM172">SUM(IF(AA172:AE172,1,0))</f>
        <v>0</v>
      </c>
      <c r="AN172" s="14" t="n">
        <f aca="false" t="array" ref="AN172:AN172">SUM(IF(AF172:AJ172,1,0))</f>
        <v>0</v>
      </c>
      <c r="AO172" s="1" t="n">
        <f aca="false">FALSE()</f>
        <v>0</v>
      </c>
      <c r="AP172" s="1" t="n">
        <f aca="false">IF(O172 = 2,COUNTIF(Q172:AJ172,"TRUE"),-1)</f>
        <v>-1</v>
      </c>
    </row>
    <row r="173" customFormat="false" ht="15.75" hidden="false" customHeight="false" outlineLevel="0" collapsed="false">
      <c r="A173" s="8" t="e">
        <f aca="true">INDIRECT("'Ответы на форму (1)'!A"&amp;$N173,TRUE())</f>
        <v>#REF!</v>
      </c>
      <c r="B173" s="0" t="e">
        <f aca="true">INDIRECT("'Ответы на форму (1)'!B"&amp;$N173,TRUE())</f>
        <v>#REF!</v>
      </c>
      <c r="C173" s="0" t="e">
        <f aca="true">INDIRECT("'Ответы на форму (1)'!C"&amp;$N173,TRUE())</f>
        <v>#REF!</v>
      </c>
      <c r="D173" s="0" t="e">
        <f aca="true">INDIRECT("'Ответы на форму (1)'!D"&amp;$N173,TRUE())</f>
        <v>#REF!</v>
      </c>
      <c r="E173" s="0" t="n">
        <f aca="false">IFERROR(__xludf.dummyfunction("iferror(VALUE(REGEXEXTRACT(TEXT(INDIRECT(""'Ответы на форму (1)'!E""&amp;$N173,TRUE),""####""),""[0-9]+"")),IF(IFERROR(SEARCH(""моцро"",INDIRECT(""'Ответы на форму (1)'!E""&amp;$N173,TRUE)),-1) &gt;= 0,117,INDIRECT(""'Ответы на форму (1)'!E""&amp;$N173,TRUE)))"),140)</f>
        <v>140</v>
      </c>
      <c r="F173" s="0" t="e">
        <f aca="true">INDIRECT("'Ответы на форму (1)'!F"&amp;$N173,TRUE())</f>
        <v>#REF!</v>
      </c>
      <c r="G173" s="9" t="e">
        <f aca="true">IFERROR(MID(INDIRECT("'Ответы на форму (1)'!G"&amp;$N173,TRUE()),SEARCH("vk.com",INDIRECT("'Ответы на форму (1)'!G"&amp;$N173,TRUE())),LEN(INDIRECT("'Ответы на форму (1)'!G"&amp;$N173,TRUE()))),INDIRECT("'Ответы на форму (1)'!G"&amp;$N173,TRUE()))</f>
        <v>#REF!</v>
      </c>
      <c r="H173" s="0" t="e">
        <f aca="true">INDIRECT("'Ответы на форму (1)'!H"&amp;$N173,TRUE())</f>
        <v>#REF!</v>
      </c>
      <c r="I173" s="12" t="e">
        <f aca="true">INDIRECT("'Ответы на форму (1)'!I"&amp;$N173,TRUE())</f>
        <v>#REF!</v>
      </c>
      <c r="J173" s="12" t="e">
        <f aca="true">INDIRECT("'Ответы на форму (1)'!J"&amp;$N173,TRUE())</f>
        <v>#REF!</v>
      </c>
      <c r="K173" s="12" t="e">
        <f aca="true">INDIRECT("'Ответы на форму (1)'!K"&amp;$N173,TRUE())</f>
        <v>#REF!</v>
      </c>
      <c r="L173" s="12" t="e">
        <f aca="true">INDIRECT("'Ответы на форму (1)'!L"&amp;$N173,TRUE())</f>
        <v>#REF!</v>
      </c>
      <c r="M173" s="0" t="e">
        <f aca="false" t="array" ref="M173:M173">IF(B173 &lt;&gt; "",IF(COUNTIF(concat(TRIM('Список прошлого года'!$B$2:$B$200),TRIM('Список прошлого года'!$C$2:$C$200)),concat(TRIM(B173),TRIM(C173))) &gt; 0,"Да","Нет"),"")</f>
        <v>#REF!</v>
      </c>
      <c r="N173" s="1" t="n">
        <v>196</v>
      </c>
      <c r="O173" s="1" t="n">
        <f aca="false">IF(NOT(ISBLANK(B173)), 0,"")</f>
        <v>0</v>
      </c>
      <c r="Q173" s="1" t="n">
        <f aca="false">TRUE()</f>
        <v>1</v>
      </c>
      <c r="R173" s="1" t="n">
        <f aca="false">TRUE()</f>
        <v>1</v>
      </c>
      <c r="S173" s="1" t="n">
        <f aca="false">TRUE()</f>
        <v>1</v>
      </c>
      <c r="T173" s="1" t="n">
        <f aca="false">FALSE()</f>
        <v>0</v>
      </c>
      <c r="U173" s="1" t="n">
        <f aca="false">TRUE()</f>
        <v>1</v>
      </c>
      <c r="V173" s="1" t="n">
        <f aca="false">TRUE()</f>
        <v>1</v>
      </c>
      <c r="W173" s="1" t="n">
        <f aca="false">TRUE()</f>
        <v>1</v>
      </c>
      <c r="X173" s="1" t="n">
        <f aca="false">TRUE()</f>
        <v>1</v>
      </c>
      <c r="Y173" s="1" t="n">
        <f aca="false">FALSE()</f>
        <v>0</v>
      </c>
      <c r="Z173" s="1" t="n">
        <f aca="false">TRUE()</f>
        <v>1</v>
      </c>
      <c r="AA173" s="1" t="n">
        <f aca="false">FALSE()</f>
        <v>0</v>
      </c>
      <c r="AB173" s="1" t="n">
        <f aca="false">FALSE()</f>
        <v>0</v>
      </c>
      <c r="AC173" s="1" t="n">
        <f aca="false">FALSE()</f>
        <v>0</v>
      </c>
      <c r="AD173" s="1" t="n">
        <f aca="false">FALSE()</f>
        <v>0</v>
      </c>
      <c r="AE173" s="1" t="n">
        <f aca="false">FALSE()</f>
        <v>0</v>
      </c>
      <c r="AF173" s="1" t="n">
        <f aca="false">FALSE()</f>
        <v>0</v>
      </c>
      <c r="AG173" s="1" t="n">
        <f aca="false">FALSE()</f>
        <v>0</v>
      </c>
      <c r="AH173" s="1" t="n">
        <f aca="false">FALSE()</f>
        <v>0</v>
      </c>
      <c r="AI173" s="1" t="n">
        <f aca="false">FALSE()</f>
        <v>0</v>
      </c>
      <c r="AJ173" s="1" t="n">
        <f aca="false">FALSE()</f>
        <v>0</v>
      </c>
      <c r="AK173" s="1" t="n">
        <f aca="false" t="array" ref="AK173:AK173">SUM(IF(Q173:U173,1,0))</f>
        <v>4</v>
      </c>
      <c r="AL173" s="14" t="n">
        <f aca="false" t="array" ref="AL173:AL173">SUM(IF(V173:Z173,1,0))</f>
        <v>4</v>
      </c>
      <c r="AM173" s="14" t="n">
        <f aca="false" t="array" ref="AM173:AM173">SUM(IF(AA173:AE173,1,0))</f>
        <v>0</v>
      </c>
      <c r="AN173" s="14" t="n">
        <f aca="false" t="array" ref="AN173:AN173">SUM(IF(AF173:AJ173,1,0))</f>
        <v>0</v>
      </c>
      <c r="AO173" s="1" t="n">
        <f aca="false">FALSE()</f>
        <v>0</v>
      </c>
      <c r="AP173" s="1" t="n">
        <f aca="false">IF(O173 = 2,COUNTIF(Q173:AJ173,"TRUE"),-1)</f>
        <v>-1</v>
      </c>
    </row>
    <row r="174" customFormat="false" ht="15.75" hidden="false" customHeight="false" outlineLevel="0" collapsed="false">
      <c r="A174" s="15" t="e">
        <f aca="true">INDIRECT("'Ответы на форму (1)'!A"&amp;$N174,TRUE())</f>
        <v>#REF!</v>
      </c>
      <c r="B174" s="16" t="e">
        <f aca="true">INDIRECT("'Ответы на форму (1)'!B"&amp;$N174,TRUE())</f>
        <v>#REF!</v>
      </c>
      <c r="C174" s="16" t="e">
        <f aca="true">INDIRECT("'Ответы на форму (1)'!C"&amp;$N174,TRUE())</f>
        <v>#REF!</v>
      </c>
      <c r="D174" s="16" t="e">
        <f aca="true">INDIRECT("'Ответы на форму (1)'!D"&amp;$N174,TRUE())</f>
        <v>#REF!</v>
      </c>
      <c r="E174" s="16" t="n">
        <f aca="false">IFERROR(__xludf.dummyfunction("iferror(VALUE(REGEXEXTRACT(TEXT(INDIRECT(""'Ответы на форму (1)'!E""&amp;$N174,TRUE),""####""),""[0-9]+"")),IF(IFERROR(SEARCH(""моцро"",INDIRECT(""'Ответы на форму (1)'!E""&amp;$N174,TRUE)),-1) &gt;= 0,117,INDIRECT(""'Ответы на форму (1)'!E""&amp;$N174,TRUE)))"),117)</f>
        <v>117</v>
      </c>
      <c r="F174" s="16" t="e">
        <f aca="true">INDIRECT("'Ответы на форму (1)'!F"&amp;$N174,TRUE())</f>
        <v>#REF!</v>
      </c>
      <c r="G174" s="16" t="e">
        <f aca="true">IFERROR(MID(INDIRECT("'Ответы на форму (1)'!G"&amp;$N174,TRUE()),SEARCH("vk.com",INDIRECT("'Ответы на форму (1)'!G"&amp;$N174,TRUE())),LEN(INDIRECT("'Ответы на форму (1)'!G"&amp;$N174,TRUE()))),INDIRECT("'Ответы на форму (1)'!G"&amp;$N174,TRUE()))</f>
        <v>#REF!</v>
      </c>
      <c r="H174" s="16" t="e">
        <f aca="true">INDIRECT("'Ответы на форму (1)'!H"&amp;$N174,TRUE())</f>
        <v>#REF!</v>
      </c>
      <c r="I174" s="16" t="e">
        <f aca="true">INDIRECT("'Ответы на форму (1)'!I"&amp;$N174,TRUE())</f>
        <v>#REF!</v>
      </c>
      <c r="J174" s="16" t="e">
        <f aca="true">INDIRECT("'Ответы на форму (1)'!J"&amp;$N174,TRUE())</f>
        <v>#REF!</v>
      </c>
      <c r="K174" s="16" t="e">
        <f aca="true">INDIRECT("'Ответы на форму (1)'!K"&amp;$N174,TRUE())</f>
        <v>#REF!</v>
      </c>
      <c r="L174" s="16" t="e">
        <f aca="true">INDIRECT("'Ответы на форму (1)'!L"&amp;$N174,TRUE())</f>
        <v>#REF!</v>
      </c>
      <c r="M174" s="16" t="e">
        <f aca="false" t="array" ref="M174:M174">IF(B174 &lt;&gt; "",IF(COUNTIF(concat(TRIM('Список прошлого года'!$B$2:$B$200),TRIM('Список прошлого года'!$C$2:$C$200)),concat(TRIM(B174),TRIM(C174))) &gt; 0,"Да","Нет"),"")</f>
        <v>#REF!</v>
      </c>
      <c r="N174" s="19" t="n">
        <v>197</v>
      </c>
      <c r="O174" s="19" t="n">
        <f aca="false">IF(NOT(ISBLANK(B174)), 0,"")</f>
        <v>0</v>
      </c>
      <c r="P174" s="16"/>
      <c r="Q174" s="19" t="n">
        <f aca="false">FALSE()</f>
        <v>0</v>
      </c>
      <c r="R174" s="19" t="n">
        <f aca="false">TRUE()</f>
        <v>1</v>
      </c>
      <c r="S174" s="19" t="n">
        <f aca="false">TRUE()</f>
        <v>1</v>
      </c>
      <c r="T174" s="19" t="n">
        <f aca="false">TRUE()</f>
        <v>1</v>
      </c>
      <c r="U174" s="19" t="n">
        <f aca="false">TRUE()</f>
        <v>1</v>
      </c>
      <c r="V174" s="19" t="n">
        <f aca="false">TRUE()</f>
        <v>1</v>
      </c>
      <c r="W174" s="19" t="n">
        <f aca="false">TRUE()</f>
        <v>1</v>
      </c>
      <c r="X174" s="19" t="n">
        <f aca="false">TRUE()</f>
        <v>1</v>
      </c>
      <c r="Y174" s="19" t="n">
        <f aca="false">TRUE()</f>
        <v>1</v>
      </c>
      <c r="Z174" s="19" t="n">
        <f aca="false">TRUE()</f>
        <v>1</v>
      </c>
      <c r="AA174" s="19" t="n">
        <f aca="false">FALSE()</f>
        <v>0</v>
      </c>
      <c r="AB174" s="19" t="n">
        <f aca="false">FALSE()</f>
        <v>0</v>
      </c>
      <c r="AC174" s="19" t="n">
        <f aca="false">TRUE()</f>
        <v>1</v>
      </c>
      <c r="AD174" s="19" t="n">
        <f aca="false">TRUE()</f>
        <v>1</v>
      </c>
      <c r="AE174" s="19" t="n">
        <f aca="false">TRUE()</f>
        <v>1</v>
      </c>
      <c r="AF174" s="19" t="n">
        <f aca="false">FALSE()</f>
        <v>0</v>
      </c>
      <c r="AG174" s="19" t="n">
        <f aca="false">FALSE()</f>
        <v>0</v>
      </c>
      <c r="AH174" s="19" t="n">
        <f aca="false">TRUE()</f>
        <v>1</v>
      </c>
      <c r="AI174" s="19" t="n">
        <f aca="false">TRUE()</f>
        <v>1</v>
      </c>
      <c r="AJ174" s="19" t="n">
        <f aca="false">TRUE()</f>
        <v>1</v>
      </c>
      <c r="AK174" s="19" t="n">
        <f aca="false" t="array" ref="AK174:AK174">SUM(IF(Q174:U174,1,0))</f>
        <v>4</v>
      </c>
      <c r="AL174" s="20" t="n">
        <f aca="false" t="array" ref="AL174:AL174">SUM(IF(V174:Z174,1,0))</f>
        <v>5</v>
      </c>
      <c r="AM174" s="20" t="n">
        <f aca="false" t="array" ref="AM174:AM174">SUM(IF(AA174:AE174,1,0))</f>
        <v>3</v>
      </c>
      <c r="AN174" s="20" t="n">
        <f aca="false" t="array" ref="AN174:AN174">SUM(IF(AF174:AJ174,1,0))</f>
        <v>3</v>
      </c>
      <c r="AO174" s="19" t="n">
        <f aca="false">TRUE()</f>
        <v>1</v>
      </c>
      <c r="AP174" s="1" t="n">
        <f aca="false">IF(O174 = 2,COUNTIF(Q174:AJ174,"TRUE"),-1)</f>
        <v>-1</v>
      </c>
    </row>
    <row r="175" customFormat="false" ht="15.75" hidden="false" customHeight="false" outlineLevel="0" collapsed="false">
      <c r="A175" s="8" t="e">
        <f aca="true">INDIRECT("'Ответы на форму (1)'!A"&amp;$N175,TRUE())</f>
        <v>#REF!</v>
      </c>
      <c r="B175" s="0" t="e">
        <f aca="true">INDIRECT("'Ответы на форму (1)'!B"&amp;$N175,TRUE())</f>
        <v>#REF!</v>
      </c>
      <c r="C175" s="0" t="e">
        <f aca="true">INDIRECT("'Ответы на форму (1)'!C"&amp;$N175,TRUE())</f>
        <v>#REF!</v>
      </c>
      <c r="D175" s="0" t="e">
        <f aca="true">INDIRECT("'Ответы на форму (1)'!D"&amp;$N175,TRUE())</f>
        <v>#REF!</v>
      </c>
      <c r="E175" s="0" t="n">
        <f aca="false">IFERROR(__xludf.dummyfunction("iferror(VALUE(REGEXEXTRACT(TEXT(INDIRECT(""'Ответы на форму (1)'!E""&amp;$N175,TRUE),""####""),""[0-9]+"")),IF(IFERROR(SEARCH(""моцро"",INDIRECT(""'Ответы на форму (1)'!E""&amp;$N175,TRUE)),-1) &gt;= 0,117,INDIRECT(""'Ответы на форму (1)'!E""&amp;$N175,TRUE)))"),66)</f>
        <v>66</v>
      </c>
      <c r="F175" s="0" t="e">
        <f aca="true">INDIRECT("'Ответы на форму (1)'!F"&amp;$N175,TRUE())</f>
        <v>#REF!</v>
      </c>
      <c r="G175" s="9" t="e">
        <f aca="true">IFERROR(MID(INDIRECT("'Ответы на форму (1)'!G"&amp;$N175,TRUE()),SEARCH("vk.com",INDIRECT("'Ответы на форму (1)'!G"&amp;$N175,TRUE())),LEN(INDIRECT("'Ответы на форму (1)'!G"&amp;$N175,TRUE()))),INDIRECT("'Ответы на форму (1)'!G"&amp;$N175,TRUE()))</f>
        <v>#REF!</v>
      </c>
      <c r="H175" s="0" t="e">
        <f aca="true">INDIRECT("'Ответы на форму (1)'!H"&amp;$N175,TRUE())</f>
        <v>#REF!</v>
      </c>
      <c r="I175" s="12" t="e">
        <f aca="true">INDIRECT("'Ответы на форму (1)'!I"&amp;$N175,TRUE())</f>
        <v>#REF!</v>
      </c>
      <c r="J175" s="12" t="e">
        <f aca="true">INDIRECT("'Ответы на форму (1)'!J"&amp;$N175,TRUE())</f>
        <v>#REF!</v>
      </c>
      <c r="K175" s="12" t="e">
        <f aca="true">INDIRECT("'Ответы на форму (1)'!K"&amp;$N175,TRUE())</f>
        <v>#REF!</v>
      </c>
      <c r="L175" s="12" t="e">
        <f aca="true">INDIRECT("'Ответы на форму (1)'!L"&amp;$N175,TRUE())</f>
        <v>#REF!</v>
      </c>
      <c r="M175" s="0" t="e">
        <f aca="false" t="array" ref="M175:M175">IF(B175 &lt;&gt; "",IF(COUNTIF(concat(TRIM('Список прошлого года'!$B$2:$B$200),TRIM('Список прошлого года'!$C$2:$C$200)),concat(TRIM(B175),TRIM(C175))) &gt; 0,"Да","Нет"),"")</f>
        <v>#REF!</v>
      </c>
      <c r="N175" s="1" t="n">
        <v>198</v>
      </c>
      <c r="O175" s="1" t="n">
        <f aca="false">IF(NOT(ISBLANK(B175)), 0,"")</f>
        <v>0</v>
      </c>
      <c r="Q175" s="1" t="n">
        <f aca="false">FALSE()</f>
        <v>0</v>
      </c>
      <c r="R175" s="1" t="n">
        <f aca="false">FALSE()</f>
        <v>0</v>
      </c>
      <c r="S175" s="1" t="n">
        <f aca="false">FALSE()</f>
        <v>0</v>
      </c>
      <c r="T175" s="1" t="n">
        <f aca="false">FALSE()</f>
        <v>0</v>
      </c>
      <c r="U175" s="1" t="n">
        <f aca="false">FALSE()</f>
        <v>0</v>
      </c>
      <c r="V175" s="1" t="n">
        <f aca="false">FALSE()</f>
        <v>0</v>
      </c>
      <c r="W175" s="1" t="n">
        <f aca="false">FALSE()</f>
        <v>0</v>
      </c>
      <c r="X175" s="1" t="n">
        <f aca="false">FALSE()</f>
        <v>0</v>
      </c>
      <c r="Y175" s="1" t="n">
        <f aca="false">FALSE()</f>
        <v>0</v>
      </c>
      <c r="Z175" s="1" t="n">
        <f aca="false">FALSE()</f>
        <v>0</v>
      </c>
      <c r="AA175" s="1" t="n">
        <f aca="false">TRUE()</f>
        <v>1</v>
      </c>
      <c r="AB175" s="1" t="n">
        <f aca="false">TRUE()</f>
        <v>1</v>
      </c>
      <c r="AC175" s="1" t="n">
        <f aca="false">TRUE()</f>
        <v>1</v>
      </c>
      <c r="AD175" s="1" t="n">
        <f aca="false">TRUE()</f>
        <v>1</v>
      </c>
      <c r="AE175" s="1" t="n">
        <f aca="false">TRUE()</f>
        <v>1</v>
      </c>
      <c r="AF175" s="1" t="n">
        <f aca="false">TRUE()</f>
        <v>1</v>
      </c>
      <c r="AG175" s="1" t="n">
        <f aca="false">FALSE()</f>
        <v>0</v>
      </c>
      <c r="AH175" s="1" t="n">
        <f aca="false">FALSE()</f>
        <v>0</v>
      </c>
      <c r="AI175" s="1" t="n">
        <f aca="false">FALSE()</f>
        <v>0</v>
      </c>
      <c r="AJ175" s="1" t="n">
        <f aca="false">FALSE()</f>
        <v>0</v>
      </c>
      <c r="AK175" s="1" t="n">
        <f aca="false" t="array" ref="AK175:AK175">SUM(IF(Q175:U175,1,0))</f>
        <v>0</v>
      </c>
      <c r="AL175" s="14" t="n">
        <f aca="false" t="array" ref="AL175:AL175">SUM(IF(V175:Z175,1,0))</f>
        <v>0</v>
      </c>
      <c r="AM175" s="14" t="n">
        <f aca="false" t="array" ref="AM175:AM175">SUM(IF(AA175:AE175,1,0))</f>
        <v>5</v>
      </c>
      <c r="AN175" s="14" t="n">
        <f aca="false" t="array" ref="AN175:AN175">SUM(IF(AF175:AJ175,1,0))</f>
        <v>1</v>
      </c>
      <c r="AO175" s="1" t="n">
        <f aca="false">FALSE()</f>
        <v>0</v>
      </c>
      <c r="AP175" s="1" t="n">
        <f aca="false">IF(O175 = 2,COUNTIF(Q175:AJ175,"TRUE"),-1)</f>
        <v>-1</v>
      </c>
    </row>
    <row r="176" customFormat="false" ht="15.75" hidden="false" customHeight="false" outlineLevel="0" collapsed="false">
      <c r="A176" s="15" t="e">
        <f aca="true">INDIRECT("'Ответы на форму (1)'!A"&amp;$N176,TRUE())</f>
        <v>#REF!</v>
      </c>
      <c r="B176" s="16" t="e">
        <f aca="true">INDIRECT("'Ответы на форму (1)'!B"&amp;$N176,TRUE())</f>
        <v>#REF!</v>
      </c>
      <c r="C176" s="16" t="e">
        <f aca="true">INDIRECT("'Ответы на форму (1)'!C"&amp;$N176,TRUE())</f>
        <v>#REF!</v>
      </c>
      <c r="D176" s="16" t="e">
        <f aca="true">INDIRECT("'Ответы на форму (1)'!D"&amp;$N176,TRUE())</f>
        <v>#REF!</v>
      </c>
      <c r="E176" s="16" t="n">
        <f aca="false">IFERROR(__xludf.dummyfunction("iferror(VALUE(REGEXEXTRACT(TEXT(INDIRECT(""'Ответы на форму (1)'!E""&amp;$N176,TRUE),""####""),""[0-9]+"")),IF(IFERROR(SEARCH(""моцро"",INDIRECT(""'Ответы на форму (1)'!E""&amp;$N176,TRUE)),-1) &gt;= 0,117,INDIRECT(""'Ответы на форму (1)'!E""&amp;$N176,TRUE)))"),66)</f>
        <v>66</v>
      </c>
      <c r="F176" s="16" t="e">
        <f aca="true">INDIRECT("'Ответы на форму (1)'!F"&amp;$N176,TRUE())</f>
        <v>#REF!</v>
      </c>
      <c r="G176" s="17" t="e">
        <f aca="true">IFERROR(MID(INDIRECT("'Ответы на форму (1)'!G"&amp;$N176,TRUE()),SEARCH("vk.com",INDIRECT("'Ответы на форму (1)'!G"&amp;$N176,TRUE())),LEN(INDIRECT("'Ответы на форму (1)'!G"&amp;$N176,TRUE()))),INDIRECT("'Ответы на форму (1)'!G"&amp;$N176,TRUE()))</f>
        <v>#REF!</v>
      </c>
      <c r="H176" s="16" t="e">
        <f aca="true">INDIRECT("'Ответы на форму (1)'!H"&amp;$N176,TRUE())</f>
        <v>#REF!</v>
      </c>
      <c r="I176" s="16" t="e">
        <f aca="true">INDIRECT("'Ответы на форму (1)'!I"&amp;$N176,TRUE())</f>
        <v>#REF!</v>
      </c>
      <c r="J176" s="16" t="e">
        <f aca="true">INDIRECT("'Ответы на форму (1)'!J"&amp;$N176,TRUE())</f>
        <v>#REF!</v>
      </c>
      <c r="K176" s="16" t="e">
        <f aca="true">INDIRECT("'Ответы на форму (1)'!K"&amp;$N176,TRUE())</f>
        <v>#REF!</v>
      </c>
      <c r="L176" s="16" t="e">
        <f aca="true">INDIRECT("'Ответы на форму (1)'!L"&amp;$N176,TRUE())</f>
        <v>#REF!</v>
      </c>
      <c r="M176" s="16" t="e">
        <f aca="false" t="array" ref="M176:M176">IF(B176 &lt;&gt; "",IF(COUNTIF(concat(TRIM('Список прошлого года'!$B$2:$B$200),TRIM('Список прошлого года'!$C$2:$C$200)),concat(TRIM(B176),TRIM(C176))) &gt; 0,"Да","Нет"),"")</f>
        <v>#REF!</v>
      </c>
      <c r="N176" s="19" t="n">
        <v>199</v>
      </c>
      <c r="O176" s="19" t="n">
        <f aca="false">IF(NOT(ISBLANK(B176)), 0,"")</f>
        <v>0</v>
      </c>
      <c r="P176" s="16"/>
      <c r="Q176" s="19" t="n">
        <f aca="false">FALSE()</f>
        <v>0</v>
      </c>
      <c r="R176" s="19" t="n">
        <f aca="false">FALSE()</f>
        <v>0</v>
      </c>
      <c r="S176" s="19" t="n">
        <f aca="false">FALSE()</f>
        <v>0</v>
      </c>
      <c r="T176" s="19" t="n">
        <f aca="false">FALSE()</f>
        <v>0</v>
      </c>
      <c r="U176" s="19" t="n">
        <f aca="false">FALSE()</f>
        <v>0</v>
      </c>
      <c r="V176" s="19" t="n">
        <f aca="false">FALSE()</f>
        <v>0</v>
      </c>
      <c r="W176" s="19" t="n">
        <f aca="false">FALSE()</f>
        <v>0</v>
      </c>
      <c r="X176" s="19" t="n">
        <f aca="false">FALSE()</f>
        <v>0</v>
      </c>
      <c r="Y176" s="19" t="n">
        <f aca="false">FALSE()</f>
        <v>0</v>
      </c>
      <c r="Z176" s="19" t="n">
        <f aca="false">FALSE()</f>
        <v>0</v>
      </c>
      <c r="AA176" s="19" t="n">
        <f aca="false">TRUE()</f>
        <v>1</v>
      </c>
      <c r="AB176" s="19" t="n">
        <f aca="false">TRUE()</f>
        <v>1</v>
      </c>
      <c r="AC176" s="19" t="n">
        <f aca="false">FALSE()</f>
        <v>0</v>
      </c>
      <c r="AD176" s="19" t="n">
        <f aca="false">TRUE()</f>
        <v>1</v>
      </c>
      <c r="AE176" s="19" t="n">
        <f aca="false">TRUE()</f>
        <v>1</v>
      </c>
      <c r="AF176" s="19" t="n">
        <f aca="false">FALSE()</f>
        <v>0</v>
      </c>
      <c r="AG176" s="19" t="n">
        <f aca="false">TRUE()</f>
        <v>1</v>
      </c>
      <c r="AH176" s="19" t="n">
        <f aca="false">FALSE()</f>
        <v>0</v>
      </c>
      <c r="AI176" s="19" t="n">
        <f aca="false">FALSE()</f>
        <v>0</v>
      </c>
      <c r="AJ176" s="19" t="n">
        <f aca="false">FALSE()</f>
        <v>0</v>
      </c>
      <c r="AK176" s="19" t="n">
        <f aca="false" t="array" ref="AK176:AK176">SUM(IF(Q176:U176,1,0))</f>
        <v>0</v>
      </c>
      <c r="AL176" s="20" t="n">
        <f aca="false" t="array" ref="AL176:AL176">SUM(IF(V176:Z176,1,0))</f>
        <v>0</v>
      </c>
      <c r="AM176" s="20" t="n">
        <f aca="false" t="array" ref="AM176:AM176">SUM(IF(AA176:AE176,1,0))</f>
        <v>4</v>
      </c>
      <c r="AN176" s="20" t="n">
        <f aca="false" t="array" ref="AN176:AN176">SUM(IF(AF176:AJ176,1,0))</f>
        <v>1</v>
      </c>
      <c r="AO176" s="19" t="n">
        <f aca="false">TRUE()</f>
        <v>1</v>
      </c>
      <c r="AP176" s="1" t="n">
        <f aca="false">IF(O176 = 2,COUNTIF(Q176:AJ176,"TRUE"),-1)</f>
        <v>-1</v>
      </c>
    </row>
    <row r="177" customFormat="false" ht="15.75" hidden="false" customHeight="false" outlineLevel="0" collapsed="false">
      <c r="A177" s="0" t="e">
        <f aca="true">INDIRECT("'Ответы на форму (1)'!A"&amp;$N177,TRUE())</f>
        <v>#REF!</v>
      </c>
      <c r="B177" s="0" t="e">
        <f aca="true">INDIRECT("'Ответы на форму (1)'!B"&amp;$N177,TRUE())</f>
        <v>#REF!</v>
      </c>
      <c r="C177" s="0" t="e">
        <f aca="true">INDIRECT("'Ответы на форму (1)'!C"&amp;$N177,TRUE())</f>
        <v>#REF!</v>
      </c>
      <c r="D177" s="0" t="e">
        <f aca="true">INDIRECT("'Ответы на форму (1)'!D"&amp;$N177,TRUE())</f>
        <v>#REF!</v>
      </c>
      <c r="E177" s="0" t="str">
        <f aca="false">IFERROR(__xludf.dummyfunction("iferror(VALUE(REGEXEXTRACT(TEXT(INDIRECT(""'Ответы на форму (1)'!E""&amp;$N177,TRUE),""####""),""[0-9]+"")),IF(IFERROR(SEARCH(""моцро"",INDIRECT(""'Ответы на форму (1)'!E""&amp;$N177,TRUE)),-1) &gt;= 0,117,INDIRECT(""'Ответы на форму (1)'!E""&amp;$N177,TRUE)))"),"")</f>
        <v/>
      </c>
      <c r="F177" s="0" t="e">
        <f aca="true">INDIRECT("'Ответы на форму (1)'!F"&amp;$N177,TRUE())</f>
        <v>#REF!</v>
      </c>
      <c r="G177" s="0" t="e">
        <f aca="true">IFERROR(MID(INDIRECT("'Ответы на форму (1)'!G"&amp;$N177,TRUE()),SEARCH("vk.com",INDIRECT("'Ответы на форму (1)'!G"&amp;$N177,TRUE())),LEN(INDIRECT("'Ответы на форму (1)'!G"&amp;$N177,TRUE()))),INDIRECT("'Ответы на форму (1)'!G"&amp;$N177,TRUE()))</f>
        <v>#REF!</v>
      </c>
      <c r="H177" s="0" t="e">
        <f aca="true">INDIRECT("'Ответы на форму (1)'!H"&amp;$N177,TRUE())</f>
        <v>#REF!</v>
      </c>
      <c r="I177" s="12" t="e">
        <f aca="true">INDIRECT("'Ответы на форму (1)'!I"&amp;$N177,TRUE())</f>
        <v>#REF!</v>
      </c>
      <c r="J177" s="12" t="e">
        <f aca="true">INDIRECT("'Ответы на форму (1)'!J"&amp;$N177,TRUE())</f>
        <v>#REF!</v>
      </c>
      <c r="K177" s="12" t="e">
        <f aca="true">INDIRECT("'Ответы на форму (1)'!K"&amp;$N177,TRUE())</f>
        <v>#REF!</v>
      </c>
      <c r="L177" s="12" t="e">
        <f aca="true">INDIRECT("'Ответы на форму (1)'!L"&amp;$N177,TRUE())</f>
        <v>#REF!</v>
      </c>
      <c r="M177" s="0" t="e">
        <f aca="false" t="array" ref="M177:M177">IF(B177 &lt;&gt; "",IF(COUNTIF(concat(TRIM('Список прошлого года'!$B$2:$B$200),TRIM('Список прошлого года'!$C$2:$C$200)),concat(TRIM(B177),TRIM(C177))) &gt; 0,"Да","Нет"),"")</f>
        <v>#REF!</v>
      </c>
      <c r="N177" s="1" t="n">
        <v>200</v>
      </c>
      <c r="O177" s="1" t="n">
        <f aca="false">IF(NOT(ISBLANK(B177)), 0,"")</f>
        <v>0</v>
      </c>
      <c r="Q177" s="1" t="n">
        <f aca="false">FALSE()</f>
        <v>0</v>
      </c>
      <c r="R177" s="1" t="n">
        <f aca="false">FALSE()</f>
        <v>0</v>
      </c>
      <c r="S177" s="1" t="n">
        <f aca="false">FALSE()</f>
        <v>0</v>
      </c>
      <c r="T177" s="1" t="n">
        <f aca="false">FALSE()</f>
        <v>0</v>
      </c>
      <c r="U177" s="1" t="n">
        <f aca="false">FALSE()</f>
        <v>0</v>
      </c>
      <c r="V177" s="1" t="n">
        <f aca="false">FALSE()</f>
        <v>0</v>
      </c>
      <c r="W177" s="1" t="n">
        <f aca="false">FALSE()</f>
        <v>0</v>
      </c>
      <c r="X177" s="1" t="n">
        <f aca="false">FALSE()</f>
        <v>0</v>
      </c>
      <c r="Y177" s="1" t="n">
        <f aca="false">FALSE()</f>
        <v>0</v>
      </c>
      <c r="Z177" s="1" t="n">
        <f aca="false">FALSE()</f>
        <v>0</v>
      </c>
      <c r="AA177" s="1" t="n">
        <f aca="false">FALSE()</f>
        <v>0</v>
      </c>
      <c r="AB177" s="1" t="n">
        <f aca="false">FALSE()</f>
        <v>0</v>
      </c>
      <c r="AC177" s="1" t="n">
        <f aca="false">FALSE()</f>
        <v>0</v>
      </c>
      <c r="AD177" s="1" t="n">
        <f aca="false">FALSE()</f>
        <v>0</v>
      </c>
      <c r="AE177" s="1" t="n">
        <f aca="false">FALSE()</f>
        <v>0</v>
      </c>
      <c r="AF177" s="1" t="n">
        <f aca="false">FALSE()</f>
        <v>0</v>
      </c>
      <c r="AG177" s="1" t="n">
        <f aca="false">FALSE()</f>
        <v>0</v>
      </c>
      <c r="AH177" s="1" t="n">
        <f aca="false">FALSE()</f>
        <v>0</v>
      </c>
      <c r="AI177" s="1" t="n">
        <f aca="false">FALSE()</f>
        <v>0</v>
      </c>
      <c r="AJ177" s="1" t="n">
        <f aca="false">FALSE()</f>
        <v>0</v>
      </c>
      <c r="AK177" s="1" t="n">
        <f aca="false" t="array" ref="AK177:AK177">SUM(IF(Q177:U177,1,0))</f>
        <v>0</v>
      </c>
      <c r="AL177" s="14" t="n">
        <f aca="false" t="array" ref="AL177:AL177">SUM(IF(V177:Z177,1,0))</f>
        <v>0</v>
      </c>
      <c r="AM177" s="14" t="n">
        <f aca="false" t="array" ref="AM177:AM177">SUM(IF(AA177:AE177,1,0))</f>
        <v>0</v>
      </c>
      <c r="AN177" s="14" t="n">
        <f aca="false" t="array" ref="AN177:AN177">SUM(IF(AF177:AJ177,1,0))</f>
        <v>0</v>
      </c>
      <c r="AO177" s="1" t="n">
        <f aca="false">FALSE()</f>
        <v>0</v>
      </c>
      <c r="AP177" s="1" t="n">
        <f aca="false">IF(O177 = 2,COUNTIF(Q177:AJ177,"TRUE"),-1)</f>
        <v>-1</v>
      </c>
    </row>
    <row r="178" customFormat="false" ht="15.75" hidden="false" customHeight="false" outlineLevel="0" collapsed="false">
      <c r="A178" s="0" t="e">
        <f aca="true">INDIRECT("'Ответы на форму (1)'!A"&amp;$N178,TRUE())</f>
        <v>#REF!</v>
      </c>
      <c r="B178" s="0" t="e">
        <f aca="true">INDIRECT("'Ответы на форму (1)'!B"&amp;$N178,TRUE())</f>
        <v>#REF!</v>
      </c>
      <c r="C178" s="0" t="e">
        <f aca="true">INDIRECT("'Ответы на форму (1)'!C"&amp;$N178,TRUE())</f>
        <v>#REF!</v>
      </c>
      <c r="D178" s="0" t="e">
        <f aca="true">INDIRECT("'Ответы на форму (1)'!D"&amp;$N178,TRUE())</f>
        <v>#REF!</v>
      </c>
      <c r="E178" s="0" t="str">
        <f aca="false">IFERROR(__xludf.dummyfunction("iferror(VALUE(REGEXEXTRACT(TEXT(INDIRECT(""'Ответы на форму (1)'!E""&amp;$N178,TRUE),""####""),""[0-9]+"")),IF(IFERROR(SEARCH(""моцро"",INDIRECT(""'Ответы на форму (1)'!E""&amp;$N178,TRUE)),-1) &gt;= 0,117,INDIRECT(""'Ответы на форму (1)'!E""&amp;$N178,TRUE)))"),"")</f>
        <v/>
      </c>
      <c r="F178" s="0" t="e">
        <f aca="true">INDIRECT("'Ответы на форму (1)'!F"&amp;$N178,TRUE())</f>
        <v>#REF!</v>
      </c>
      <c r="G178" s="0" t="e">
        <f aca="true">IFERROR(MID(INDIRECT("'Ответы на форму (1)'!G"&amp;$N178,TRUE()),SEARCH("vk.com",INDIRECT("'Ответы на форму (1)'!G"&amp;$N178,TRUE())),LEN(INDIRECT("'Ответы на форму (1)'!G"&amp;$N178,TRUE()))),INDIRECT("'Ответы на форму (1)'!G"&amp;$N178,TRUE()))</f>
        <v>#REF!</v>
      </c>
      <c r="H178" s="0" t="e">
        <f aca="true">INDIRECT("'Ответы на форму (1)'!H"&amp;$N178,TRUE())</f>
        <v>#REF!</v>
      </c>
      <c r="I178" s="12" t="e">
        <f aca="true">INDIRECT("'Ответы на форму (1)'!I"&amp;$N178,TRUE())</f>
        <v>#REF!</v>
      </c>
      <c r="J178" s="12" t="e">
        <f aca="true">INDIRECT("'Ответы на форму (1)'!J"&amp;$N178,TRUE())</f>
        <v>#REF!</v>
      </c>
      <c r="K178" s="12" t="e">
        <f aca="true">INDIRECT("'Ответы на форму (1)'!K"&amp;$N178,TRUE())</f>
        <v>#REF!</v>
      </c>
      <c r="L178" s="12" t="e">
        <f aca="true">INDIRECT("'Ответы на форму (1)'!L"&amp;$N178,TRUE())</f>
        <v>#REF!</v>
      </c>
      <c r="M178" s="0" t="e">
        <f aca="false" t="array" ref="M178:M178">IF(B178 &lt;&gt; "",IF(COUNTIF(concat(TRIM('Список прошлого года'!$B$2:$B$200),TRIM('Список прошлого года'!$C$2:$C$200)),concat(TRIM(B178),TRIM(C178))) &gt; 0,"Да","Нет"),"")</f>
        <v>#REF!</v>
      </c>
      <c r="N178" s="1" t="n">
        <v>201</v>
      </c>
      <c r="O178" s="1" t="n">
        <f aca="false">IF(NOT(ISBLANK(B178)), 0,"")</f>
        <v>0</v>
      </c>
      <c r="Q178" s="1" t="n">
        <f aca="false">FALSE()</f>
        <v>0</v>
      </c>
      <c r="R178" s="1" t="n">
        <f aca="false">FALSE()</f>
        <v>0</v>
      </c>
      <c r="S178" s="1" t="n">
        <f aca="false">FALSE()</f>
        <v>0</v>
      </c>
      <c r="T178" s="1" t="n">
        <f aca="false">FALSE()</f>
        <v>0</v>
      </c>
      <c r="U178" s="1" t="n">
        <f aca="false">FALSE()</f>
        <v>0</v>
      </c>
      <c r="V178" s="1" t="n">
        <f aca="false">FALSE()</f>
        <v>0</v>
      </c>
      <c r="W178" s="1" t="n">
        <f aca="false">FALSE()</f>
        <v>0</v>
      </c>
      <c r="X178" s="1" t="n">
        <f aca="false">FALSE()</f>
        <v>0</v>
      </c>
      <c r="Y178" s="1" t="n">
        <f aca="false">FALSE()</f>
        <v>0</v>
      </c>
      <c r="Z178" s="1" t="n">
        <f aca="false">FALSE()</f>
        <v>0</v>
      </c>
      <c r="AA178" s="1" t="n">
        <f aca="false">FALSE()</f>
        <v>0</v>
      </c>
      <c r="AB178" s="1" t="n">
        <f aca="false">FALSE()</f>
        <v>0</v>
      </c>
      <c r="AC178" s="1" t="n">
        <f aca="false">FALSE()</f>
        <v>0</v>
      </c>
      <c r="AD178" s="1" t="n">
        <f aca="false">FALSE()</f>
        <v>0</v>
      </c>
      <c r="AE178" s="1" t="n">
        <f aca="false">FALSE()</f>
        <v>0</v>
      </c>
      <c r="AF178" s="1" t="n">
        <f aca="false">FALSE()</f>
        <v>0</v>
      </c>
      <c r="AG178" s="1" t="n">
        <f aca="false">FALSE()</f>
        <v>0</v>
      </c>
      <c r="AH178" s="1" t="n">
        <f aca="false">FALSE()</f>
        <v>0</v>
      </c>
      <c r="AI178" s="1" t="n">
        <f aca="false">FALSE()</f>
        <v>0</v>
      </c>
      <c r="AJ178" s="1" t="n">
        <f aca="false">FALSE()</f>
        <v>0</v>
      </c>
      <c r="AK178" s="1" t="n">
        <f aca="false" t="array" ref="AK178:AK178">SUM(IF(Q178:U178,1,0))</f>
        <v>0</v>
      </c>
      <c r="AL178" s="14" t="n">
        <f aca="false" t="array" ref="AL178:AL178">SUM(IF(V178:Z178,1,0))</f>
        <v>0</v>
      </c>
      <c r="AM178" s="14" t="n">
        <f aca="false" t="array" ref="AM178:AM178">SUM(IF(AA178:AE178,1,0))</f>
        <v>0</v>
      </c>
      <c r="AN178" s="14" t="n">
        <f aca="false" t="array" ref="AN178:AN178">SUM(IF(AF178:AJ178,1,0))</f>
        <v>0</v>
      </c>
      <c r="AO178" s="1" t="n">
        <f aca="false">FALSE()</f>
        <v>0</v>
      </c>
      <c r="AP178" s="1" t="n">
        <f aca="false">IF(O178 = 2,COUNTIF(Q178:AJ178,"TRUE"),-1)</f>
        <v>-1</v>
      </c>
    </row>
    <row r="179" customFormat="false" ht="15.75" hidden="false" customHeight="false" outlineLevel="0" collapsed="false">
      <c r="A179" s="0" t="e">
        <f aca="true">INDIRECT("'Ответы на форму (1)'!A"&amp;$N179,TRUE())</f>
        <v>#REF!</v>
      </c>
      <c r="B179" s="0" t="e">
        <f aca="true">INDIRECT("'Ответы на форму (1)'!B"&amp;$N179,TRUE())</f>
        <v>#REF!</v>
      </c>
      <c r="C179" s="0" t="e">
        <f aca="true">INDIRECT("'Ответы на форму (1)'!C"&amp;$N179,TRUE())</f>
        <v>#REF!</v>
      </c>
      <c r="D179" s="0" t="e">
        <f aca="true">INDIRECT("'Ответы на форму (1)'!D"&amp;$N179,TRUE())</f>
        <v>#REF!</v>
      </c>
      <c r="E179" s="0" t="str">
        <f aca="false">IFERROR(__xludf.dummyfunction("iferror(VALUE(REGEXEXTRACT(TEXT(INDIRECT(""'Ответы на форму (1)'!E""&amp;$N179,TRUE),""####""),""[0-9]+"")),IF(IFERROR(SEARCH(""моцро"",INDIRECT(""'Ответы на форму (1)'!E""&amp;$N179,TRUE)),-1) &gt;= 0,117,INDIRECT(""'Ответы на форму (1)'!E""&amp;$N179,TRUE)))"),"")</f>
        <v/>
      </c>
      <c r="F179" s="0" t="e">
        <f aca="true">INDIRECT("'Ответы на форму (1)'!F"&amp;$N179,TRUE())</f>
        <v>#REF!</v>
      </c>
      <c r="G179" s="0" t="e">
        <f aca="true">IFERROR(MID(INDIRECT("'Ответы на форму (1)'!G"&amp;$N179,TRUE()),SEARCH("vk.com",INDIRECT("'Ответы на форму (1)'!G"&amp;$N179,TRUE())),LEN(INDIRECT("'Ответы на форму (1)'!G"&amp;$N179,TRUE()))),INDIRECT("'Ответы на форму (1)'!G"&amp;$N179,TRUE()))</f>
        <v>#REF!</v>
      </c>
      <c r="H179" s="0" t="e">
        <f aca="true">INDIRECT("'Ответы на форму (1)'!H"&amp;$N179,TRUE())</f>
        <v>#REF!</v>
      </c>
      <c r="I179" s="12" t="e">
        <f aca="true">INDIRECT("'Ответы на форму (1)'!I"&amp;$N179,TRUE())</f>
        <v>#REF!</v>
      </c>
      <c r="J179" s="12" t="e">
        <f aca="true">INDIRECT("'Ответы на форму (1)'!J"&amp;$N179,TRUE())</f>
        <v>#REF!</v>
      </c>
      <c r="K179" s="12" t="e">
        <f aca="true">INDIRECT("'Ответы на форму (1)'!K"&amp;$N179,TRUE())</f>
        <v>#REF!</v>
      </c>
      <c r="L179" s="12" t="e">
        <f aca="true">INDIRECT("'Ответы на форму (1)'!L"&amp;$N179,TRUE())</f>
        <v>#REF!</v>
      </c>
      <c r="M179" s="0" t="e">
        <f aca="false" t="array" ref="M179:M179">IF(B179 &lt;&gt; "",IF(COUNTIF(concat(TRIM('Список прошлого года'!$B$2:$B$200),TRIM('Список прошлого года'!$C$2:$C$200)),concat(TRIM(B179),TRIM(C179))) &gt; 0,"Да","Нет"),"")</f>
        <v>#REF!</v>
      </c>
      <c r="N179" s="1" t="n">
        <v>202</v>
      </c>
      <c r="O179" s="1" t="n">
        <f aca="false">IF(NOT(ISBLANK(B179)), 0,"")</f>
        <v>0</v>
      </c>
      <c r="Q179" s="1" t="n">
        <f aca="false">FALSE()</f>
        <v>0</v>
      </c>
      <c r="R179" s="1" t="n">
        <f aca="false">FALSE()</f>
        <v>0</v>
      </c>
      <c r="S179" s="1" t="n">
        <f aca="false">FALSE()</f>
        <v>0</v>
      </c>
      <c r="T179" s="1" t="n">
        <f aca="false">FALSE()</f>
        <v>0</v>
      </c>
      <c r="U179" s="1" t="n">
        <f aca="false">FALSE()</f>
        <v>0</v>
      </c>
      <c r="V179" s="1" t="n">
        <f aca="false">FALSE()</f>
        <v>0</v>
      </c>
      <c r="W179" s="1" t="n">
        <f aca="false">FALSE()</f>
        <v>0</v>
      </c>
      <c r="X179" s="1" t="n">
        <f aca="false">FALSE()</f>
        <v>0</v>
      </c>
      <c r="Y179" s="1" t="n">
        <f aca="false">FALSE()</f>
        <v>0</v>
      </c>
      <c r="Z179" s="1" t="n">
        <f aca="false">FALSE()</f>
        <v>0</v>
      </c>
      <c r="AA179" s="1" t="n">
        <f aca="false">FALSE()</f>
        <v>0</v>
      </c>
      <c r="AB179" s="1" t="n">
        <f aca="false">FALSE()</f>
        <v>0</v>
      </c>
      <c r="AC179" s="1" t="n">
        <f aca="false">FALSE()</f>
        <v>0</v>
      </c>
      <c r="AD179" s="1" t="n">
        <f aca="false">FALSE()</f>
        <v>0</v>
      </c>
      <c r="AE179" s="1" t="n">
        <f aca="false">FALSE()</f>
        <v>0</v>
      </c>
      <c r="AF179" s="1" t="n">
        <f aca="false">FALSE()</f>
        <v>0</v>
      </c>
      <c r="AG179" s="1" t="n">
        <f aca="false">FALSE()</f>
        <v>0</v>
      </c>
      <c r="AH179" s="1" t="n">
        <f aca="false">FALSE()</f>
        <v>0</v>
      </c>
      <c r="AI179" s="1" t="n">
        <f aca="false">FALSE()</f>
        <v>0</v>
      </c>
      <c r="AJ179" s="1" t="n">
        <f aca="false">FALSE()</f>
        <v>0</v>
      </c>
      <c r="AK179" s="1" t="n">
        <f aca="false" t="array" ref="AK179:AK179">SUM(IF(Q179:U179,1,0))</f>
        <v>0</v>
      </c>
      <c r="AL179" s="14" t="n">
        <f aca="false" t="array" ref="AL179:AL179">SUM(IF(V179:Z179,1,0))</f>
        <v>0</v>
      </c>
      <c r="AM179" s="14" t="n">
        <f aca="false" t="array" ref="AM179:AM179">SUM(IF(AA179:AE179,1,0))</f>
        <v>0</v>
      </c>
      <c r="AN179" s="14" t="n">
        <f aca="false" t="array" ref="AN179:AN179">SUM(IF(AF179:AJ179,1,0))</f>
        <v>0</v>
      </c>
      <c r="AO179" s="1" t="n">
        <f aca="false">FALSE()</f>
        <v>0</v>
      </c>
      <c r="AP179" s="1" t="n">
        <f aca="false">IF(O179 = 2,COUNTIF(Q179:AJ179,"TRUE"),-1)</f>
        <v>-1</v>
      </c>
    </row>
    <row r="180" customFormat="false" ht="15.75" hidden="false" customHeight="false" outlineLevel="0" collapsed="false">
      <c r="A180" s="0" t="e">
        <f aca="true">INDIRECT("'Ответы на форму (1)'!A"&amp;$N180,TRUE())</f>
        <v>#REF!</v>
      </c>
      <c r="B180" s="0" t="e">
        <f aca="true">INDIRECT("'Ответы на форму (1)'!B"&amp;$N180,TRUE())</f>
        <v>#REF!</v>
      </c>
      <c r="C180" s="0" t="e">
        <f aca="true">INDIRECT("'Ответы на форму (1)'!C"&amp;$N180,TRUE())</f>
        <v>#REF!</v>
      </c>
      <c r="D180" s="0" t="e">
        <f aca="true">INDIRECT("'Ответы на форму (1)'!D"&amp;$N180,TRUE())</f>
        <v>#REF!</v>
      </c>
      <c r="E180" s="0" t="str">
        <f aca="false">IFERROR(__xludf.dummyfunction("iferror(VALUE(REGEXEXTRACT(TEXT(INDIRECT(""'Ответы на форму (1)'!E""&amp;$N180,TRUE),""####""),""[0-9]+"")),IF(IFERROR(SEARCH(""моцро"",INDIRECT(""'Ответы на форму (1)'!E""&amp;$N180,TRUE)),-1) &gt;= 0,117,INDIRECT(""'Ответы на форму (1)'!E""&amp;$N180,TRUE)))"),"")</f>
        <v/>
      </c>
      <c r="F180" s="0" t="e">
        <f aca="true">INDIRECT("'Ответы на форму (1)'!F"&amp;$N180,TRUE())</f>
        <v>#REF!</v>
      </c>
      <c r="G180" s="0" t="e">
        <f aca="true">IFERROR(MID(INDIRECT("'Ответы на форму (1)'!G"&amp;$N180,TRUE()),SEARCH("vk.com",INDIRECT("'Ответы на форму (1)'!G"&amp;$N180,TRUE())),LEN(INDIRECT("'Ответы на форму (1)'!G"&amp;$N180,TRUE()))),INDIRECT("'Ответы на форму (1)'!G"&amp;$N180,TRUE()))</f>
        <v>#REF!</v>
      </c>
      <c r="H180" s="0" t="e">
        <f aca="true">INDIRECT("'Ответы на форму (1)'!H"&amp;$N180,TRUE())</f>
        <v>#REF!</v>
      </c>
      <c r="I180" s="12" t="e">
        <f aca="true">INDIRECT("'Ответы на форму (1)'!I"&amp;$N180,TRUE())</f>
        <v>#REF!</v>
      </c>
      <c r="J180" s="12" t="e">
        <f aca="true">INDIRECT("'Ответы на форму (1)'!J"&amp;$N180,TRUE())</f>
        <v>#REF!</v>
      </c>
      <c r="K180" s="12" t="e">
        <f aca="true">INDIRECT("'Ответы на форму (1)'!K"&amp;$N180,TRUE())</f>
        <v>#REF!</v>
      </c>
      <c r="L180" s="12" t="e">
        <f aca="true">INDIRECT("'Ответы на форму (1)'!L"&amp;$N180,TRUE())</f>
        <v>#REF!</v>
      </c>
      <c r="M180" s="0" t="e">
        <f aca="false" t="array" ref="M180:M180">IF(B180 &lt;&gt; "",IF(COUNTIF(concat(TRIM('Список прошлого года'!$B$2:$B$200),TRIM('Список прошлого года'!$C$2:$C$200)),concat(TRIM(B180),TRIM(C180))) &gt; 0,"Да","Нет"),"")</f>
        <v>#REF!</v>
      </c>
      <c r="N180" s="1" t="n">
        <v>203</v>
      </c>
      <c r="O180" s="1" t="n">
        <f aca="false">IF(NOT(ISBLANK(B180)), 0,"")</f>
        <v>0</v>
      </c>
      <c r="Q180" s="1" t="n">
        <f aca="false">FALSE()</f>
        <v>0</v>
      </c>
      <c r="R180" s="1" t="n">
        <f aca="false">FALSE()</f>
        <v>0</v>
      </c>
      <c r="S180" s="1" t="n">
        <f aca="false">FALSE()</f>
        <v>0</v>
      </c>
      <c r="T180" s="1" t="n">
        <f aca="false">FALSE()</f>
        <v>0</v>
      </c>
      <c r="U180" s="1" t="n">
        <f aca="false">FALSE()</f>
        <v>0</v>
      </c>
      <c r="V180" s="1" t="n">
        <f aca="false">FALSE()</f>
        <v>0</v>
      </c>
      <c r="W180" s="1" t="n">
        <f aca="false">FALSE()</f>
        <v>0</v>
      </c>
      <c r="X180" s="1" t="n">
        <f aca="false">FALSE()</f>
        <v>0</v>
      </c>
      <c r="Y180" s="1" t="n">
        <f aca="false">FALSE()</f>
        <v>0</v>
      </c>
      <c r="Z180" s="1" t="n">
        <f aca="false">FALSE()</f>
        <v>0</v>
      </c>
      <c r="AA180" s="1" t="n">
        <f aca="false">FALSE()</f>
        <v>0</v>
      </c>
      <c r="AB180" s="1" t="n">
        <f aca="false">FALSE()</f>
        <v>0</v>
      </c>
      <c r="AC180" s="1" t="n">
        <f aca="false">FALSE()</f>
        <v>0</v>
      </c>
      <c r="AD180" s="1" t="n">
        <f aca="false">FALSE()</f>
        <v>0</v>
      </c>
      <c r="AE180" s="1" t="n">
        <f aca="false">FALSE()</f>
        <v>0</v>
      </c>
      <c r="AF180" s="1" t="n">
        <f aca="false">FALSE()</f>
        <v>0</v>
      </c>
      <c r="AG180" s="1" t="n">
        <f aca="false">FALSE()</f>
        <v>0</v>
      </c>
      <c r="AH180" s="1" t="n">
        <f aca="false">FALSE()</f>
        <v>0</v>
      </c>
      <c r="AI180" s="1" t="n">
        <f aca="false">FALSE()</f>
        <v>0</v>
      </c>
      <c r="AJ180" s="1" t="n">
        <f aca="false">FALSE()</f>
        <v>0</v>
      </c>
      <c r="AK180" s="1" t="n">
        <f aca="false" t="array" ref="AK180:AK180">SUM(IF(Q180:U180,1,0))</f>
        <v>0</v>
      </c>
      <c r="AL180" s="14" t="n">
        <f aca="false" t="array" ref="AL180:AL180">SUM(IF(V180:Z180,1,0))</f>
        <v>0</v>
      </c>
      <c r="AM180" s="14" t="n">
        <f aca="false" t="array" ref="AM180:AM180">SUM(IF(AA180:AE180,1,0))</f>
        <v>0</v>
      </c>
      <c r="AN180" s="14" t="n">
        <f aca="false" t="array" ref="AN180:AN180">SUM(IF(AF180:AJ180,1,0))</f>
        <v>0</v>
      </c>
      <c r="AO180" s="1" t="n">
        <f aca="false">FALSE()</f>
        <v>0</v>
      </c>
      <c r="AP180" s="1" t="n">
        <f aca="false">IF(O180 = 2,COUNTIF(Q180:AJ180,"TRUE"),-1)</f>
        <v>-1</v>
      </c>
    </row>
    <row r="181" customFormat="false" ht="15.75" hidden="false" customHeight="false" outlineLevel="0" collapsed="false">
      <c r="A181" s="0" t="e">
        <f aca="true">INDIRECT("'Ответы на форму (1)'!A"&amp;$N181,TRUE())</f>
        <v>#REF!</v>
      </c>
      <c r="B181" s="0" t="e">
        <f aca="true">INDIRECT("'Ответы на форму (1)'!B"&amp;$N181,TRUE())</f>
        <v>#REF!</v>
      </c>
      <c r="C181" s="0" t="e">
        <f aca="true">INDIRECT("'Ответы на форму (1)'!C"&amp;$N181,TRUE())</f>
        <v>#REF!</v>
      </c>
      <c r="D181" s="0" t="e">
        <f aca="true">INDIRECT("'Ответы на форму (1)'!D"&amp;$N181,TRUE())</f>
        <v>#REF!</v>
      </c>
      <c r="E181" s="0" t="str">
        <f aca="false">IFERROR(__xludf.dummyfunction("iferror(VALUE(REGEXEXTRACT(TEXT(INDIRECT(""'Ответы на форму (1)'!E""&amp;$N181,TRUE),""####""),""[0-9]+"")),IF(IFERROR(SEARCH(""моцро"",INDIRECT(""'Ответы на форму (1)'!E""&amp;$N181,TRUE)),-1) &gt;= 0,117,INDIRECT(""'Ответы на форму (1)'!E""&amp;$N181,TRUE)))"),"")</f>
        <v/>
      </c>
      <c r="F181" s="0" t="e">
        <f aca="true">INDIRECT("'Ответы на форму (1)'!F"&amp;$N181,TRUE())</f>
        <v>#REF!</v>
      </c>
      <c r="G181" s="0" t="e">
        <f aca="true">IFERROR(MID(INDIRECT("'Ответы на форму (1)'!G"&amp;$N181,TRUE()),SEARCH("vk.com",INDIRECT("'Ответы на форму (1)'!G"&amp;$N181,TRUE())),LEN(INDIRECT("'Ответы на форму (1)'!G"&amp;$N181,TRUE()))),INDIRECT("'Ответы на форму (1)'!G"&amp;$N181,TRUE()))</f>
        <v>#REF!</v>
      </c>
      <c r="H181" s="0" t="e">
        <f aca="true">INDIRECT("'Ответы на форму (1)'!H"&amp;$N181,TRUE())</f>
        <v>#REF!</v>
      </c>
      <c r="I181" s="12" t="e">
        <f aca="true">INDIRECT("'Ответы на форму (1)'!I"&amp;$N181,TRUE())</f>
        <v>#REF!</v>
      </c>
      <c r="J181" s="12" t="e">
        <f aca="true">INDIRECT("'Ответы на форму (1)'!J"&amp;$N181,TRUE())</f>
        <v>#REF!</v>
      </c>
      <c r="K181" s="12" t="e">
        <f aca="true">INDIRECT("'Ответы на форму (1)'!K"&amp;$N181,TRUE())</f>
        <v>#REF!</v>
      </c>
      <c r="L181" s="12" t="e">
        <f aca="true">INDIRECT("'Ответы на форму (1)'!L"&amp;$N181,TRUE())</f>
        <v>#REF!</v>
      </c>
      <c r="M181" s="0" t="e">
        <f aca="false" t="array" ref="M181:M181">IF(B181 &lt;&gt; "",IF(COUNTIF(concat(TRIM('Список прошлого года'!$B$2:$B$200),TRIM('Список прошлого года'!$C$2:$C$200)),concat(TRIM(B181),TRIM(C181))) &gt; 0,"Да","Нет"),"")</f>
        <v>#REF!</v>
      </c>
      <c r="N181" s="1" t="n">
        <v>204</v>
      </c>
      <c r="O181" s="1" t="n">
        <f aca="false">IF(NOT(ISBLANK(B181)), 0,"")</f>
        <v>0</v>
      </c>
      <c r="Q181" s="1" t="n">
        <f aca="false">FALSE()</f>
        <v>0</v>
      </c>
      <c r="R181" s="1" t="n">
        <f aca="false">FALSE()</f>
        <v>0</v>
      </c>
      <c r="S181" s="1" t="n">
        <f aca="false">FALSE()</f>
        <v>0</v>
      </c>
      <c r="T181" s="1" t="n">
        <f aca="false">FALSE()</f>
        <v>0</v>
      </c>
      <c r="U181" s="1" t="n">
        <f aca="false">FALSE()</f>
        <v>0</v>
      </c>
      <c r="V181" s="1" t="n">
        <f aca="false">FALSE()</f>
        <v>0</v>
      </c>
      <c r="W181" s="1" t="n">
        <f aca="false">FALSE()</f>
        <v>0</v>
      </c>
      <c r="X181" s="1" t="n">
        <f aca="false">FALSE()</f>
        <v>0</v>
      </c>
      <c r="Y181" s="1" t="n">
        <f aca="false">FALSE()</f>
        <v>0</v>
      </c>
      <c r="Z181" s="1" t="n">
        <f aca="false">FALSE()</f>
        <v>0</v>
      </c>
      <c r="AA181" s="1" t="n">
        <f aca="false">FALSE()</f>
        <v>0</v>
      </c>
      <c r="AB181" s="1" t="n">
        <f aca="false">FALSE()</f>
        <v>0</v>
      </c>
      <c r="AC181" s="1" t="n">
        <f aca="false">FALSE()</f>
        <v>0</v>
      </c>
      <c r="AD181" s="1" t="n">
        <f aca="false">FALSE()</f>
        <v>0</v>
      </c>
      <c r="AE181" s="1" t="n">
        <f aca="false">FALSE()</f>
        <v>0</v>
      </c>
      <c r="AF181" s="1" t="n">
        <f aca="false">FALSE()</f>
        <v>0</v>
      </c>
      <c r="AG181" s="1" t="n">
        <f aca="false">FALSE()</f>
        <v>0</v>
      </c>
      <c r="AH181" s="1" t="n">
        <f aca="false">FALSE()</f>
        <v>0</v>
      </c>
      <c r="AI181" s="1" t="n">
        <f aca="false">FALSE()</f>
        <v>0</v>
      </c>
      <c r="AJ181" s="1" t="n">
        <f aca="false">FALSE()</f>
        <v>0</v>
      </c>
      <c r="AK181" s="1" t="n">
        <f aca="false" t="array" ref="AK181:AK181">SUM(IF(Q181:U181,1,0))</f>
        <v>0</v>
      </c>
      <c r="AL181" s="14" t="n">
        <f aca="false" t="array" ref="AL181:AL181">SUM(IF(V181:Z181,1,0))</f>
        <v>0</v>
      </c>
      <c r="AM181" s="14" t="n">
        <f aca="false" t="array" ref="AM181:AM181">SUM(IF(AA181:AE181,1,0))</f>
        <v>0</v>
      </c>
      <c r="AN181" s="14" t="n">
        <f aca="false" t="array" ref="AN181:AN181">SUM(IF(AF181:AJ181,1,0))</f>
        <v>0</v>
      </c>
      <c r="AO181" s="1" t="n">
        <f aca="false">FALSE()</f>
        <v>0</v>
      </c>
      <c r="AP181" s="1" t="n">
        <f aca="false">IF(O181 = 2,COUNTIF(Q181:AJ181,"TRUE"),-1)</f>
        <v>-1</v>
      </c>
    </row>
    <row r="182" customFormat="false" ht="15.75" hidden="false" customHeight="false" outlineLevel="0" collapsed="false">
      <c r="A182" s="0" t="e">
        <f aca="true">INDIRECT("'Ответы на форму (1)'!A"&amp;$N182,TRUE())</f>
        <v>#REF!</v>
      </c>
      <c r="B182" s="0" t="e">
        <f aca="true">INDIRECT("'Ответы на форму (1)'!B"&amp;$N182,TRUE())</f>
        <v>#REF!</v>
      </c>
      <c r="C182" s="0" t="e">
        <f aca="true">INDIRECT("'Ответы на форму (1)'!C"&amp;$N182,TRUE())</f>
        <v>#REF!</v>
      </c>
      <c r="D182" s="0" t="e">
        <f aca="true">INDIRECT("'Ответы на форму (1)'!D"&amp;$N182,TRUE())</f>
        <v>#REF!</v>
      </c>
      <c r="E182" s="0" t="str">
        <f aca="false">IFERROR(__xludf.dummyfunction("iferror(VALUE(REGEXEXTRACT(TEXT(INDIRECT(""'Ответы на форму (1)'!E""&amp;$N182,TRUE),""####""),""[0-9]+"")),IF(IFERROR(SEARCH(""моцро"",INDIRECT(""'Ответы на форму (1)'!E""&amp;$N182,TRUE)),-1) &gt;= 0,117,INDIRECT(""'Ответы на форму (1)'!E""&amp;$N182,TRUE)))"),"")</f>
        <v/>
      </c>
      <c r="F182" s="0" t="e">
        <f aca="true">INDIRECT("'Ответы на форму (1)'!F"&amp;$N182,TRUE())</f>
        <v>#REF!</v>
      </c>
      <c r="G182" s="0" t="e">
        <f aca="true">IFERROR(MID(INDIRECT("'Ответы на форму (1)'!G"&amp;$N182,TRUE()),SEARCH("vk.com",INDIRECT("'Ответы на форму (1)'!G"&amp;$N182,TRUE())),LEN(INDIRECT("'Ответы на форму (1)'!G"&amp;$N182,TRUE()))),INDIRECT("'Ответы на форму (1)'!G"&amp;$N182,TRUE()))</f>
        <v>#REF!</v>
      </c>
      <c r="H182" s="0" t="e">
        <f aca="true">INDIRECT("'Ответы на форму (1)'!H"&amp;$N182,TRUE())</f>
        <v>#REF!</v>
      </c>
      <c r="I182" s="12" t="e">
        <f aca="true">INDIRECT("'Ответы на форму (1)'!I"&amp;$N182,TRUE())</f>
        <v>#REF!</v>
      </c>
      <c r="J182" s="12" t="e">
        <f aca="true">INDIRECT("'Ответы на форму (1)'!J"&amp;$N182,TRUE())</f>
        <v>#REF!</v>
      </c>
      <c r="K182" s="12" t="e">
        <f aca="true">INDIRECT("'Ответы на форму (1)'!K"&amp;$N182,TRUE())</f>
        <v>#REF!</v>
      </c>
      <c r="L182" s="12" t="e">
        <f aca="true">INDIRECT("'Ответы на форму (1)'!L"&amp;$N182,TRUE())</f>
        <v>#REF!</v>
      </c>
      <c r="M182" s="0" t="e">
        <f aca="false" t="array" ref="M182:M182">IF(B182 &lt;&gt; "",IF(COUNTIF(concat(TRIM('Список прошлого года'!$B$2:$B$200),TRIM('Список прошлого года'!$C$2:$C$200)),concat(TRIM(B182),TRIM(C182))) &gt; 0,"Да","Нет"),"")</f>
        <v>#REF!</v>
      </c>
      <c r="N182" s="1" t="n">
        <v>205</v>
      </c>
      <c r="O182" s="1" t="n">
        <f aca="false">IF(NOT(ISBLANK(B182)), 0,"")</f>
        <v>0</v>
      </c>
      <c r="Q182" s="1" t="n">
        <f aca="false">FALSE()</f>
        <v>0</v>
      </c>
      <c r="R182" s="1" t="n">
        <f aca="false">FALSE()</f>
        <v>0</v>
      </c>
      <c r="S182" s="1" t="n">
        <f aca="false">FALSE()</f>
        <v>0</v>
      </c>
      <c r="T182" s="1" t="n">
        <f aca="false">FALSE()</f>
        <v>0</v>
      </c>
      <c r="U182" s="1" t="n">
        <f aca="false">FALSE()</f>
        <v>0</v>
      </c>
      <c r="V182" s="1" t="n">
        <f aca="false">FALSE()</f>
        <v>0</v>
      </c>
      <c r="W182" s="1" t="n">
        <f aca="false">FALSE()</f>
        <v>0</v>
      </c>
      <c r="X182" s="1" t="n">
        <f aca="false">FALSE()</f>
        <v>0</v>
      </c>
      <c r="Y182" s="1" t="n">
        <f aca="false">FALSE()</f>
        <v>0</v>
      </c>
      <c r="Z182" s="1" t="n">
        <f aca="false">FALSE()</f>
        <v>0</v>
      </c>
      <c r="AA182" s="1" t="n">
        <f aca="false">FALSE()</f>
        <v>0</v>
      </c>
      <c r="AB182" s="1" t="n">
        <f aca="false">FALSE()</f>
        <v>0</v>
      </c>
      <c r="AC182" s="1" t="n">
        <f aca="false">FALSE()</f>
        <v>0</v>
      </c>
      <c r="AD182" s="1" t="n">
        <f aca="false">FALSE()</f>
        <v>0</v>
      </c>
      <c r="AE182" s="1" t="n">
        <f aca="false">FALSE()</f>
        <v>0</v>
      </c>
      <c r="AF182" s="1" t="n">
        <f aca="false">FALSE()</f>
        <v>0</v>
      </c>
      <c r="AG182" s="1" t="n">
        <f aca="false">FALSE()</f>
        <v>0</v>
      </c>
      <c r="AH182" s="1" t="n">
        <f aca="false">FALSE()</f>
        <v>0</v>
      </c>
      <c r="AI182" s="1" t="n">
        <f aca="false">FALSE()</f>
        <v>0</v>
      </c>
      <c r="AJ182" s="1" t="n">
        <f aca="false">FALSE()</f>
        <v>0</v>
      </c>
      <c r="AK182" s="1" t="n">
        <f aca="false" t="array" ref="AK182:AK182">SUM(IF(Q182:U182,1,0))</f>
        <v>0</v>
      </c>
      <c r="AL182" s="14" t="n">
        <f aca="false" t="array" ref="AL182:AL182">SUM(IF(V182:Z182,1,0))</f>
        <v>0</v>
      </c>
      <c r="AM182" s="14" t="n">
        <f aca="false" t="array" ref="AM182:AM182">SUM(IF(AA182:AE182,1,0))</f>
        <v>0</v>
      </c>
      <c r="AN182" s="14" t="n">
        <f aca="false" t="array" ref="AN182:AN182">SUM(IF(AF182:AJ182,1,0))</f>
        <v>0</v>
      </c>
      <c r="AO182" s="1" t="n">
        <f aca="false">FALSE()</f>
        <v>0</v>
      </c>
      <c r="AP182" s="1" t="n">
        <f aca="false">IF(O182 = 2,COUNTIF(Q182:AJ182,"TRUE"),-1)</f>
        <v>-1</v>
      </c>
    </row>
    <row r="183" customFormat="false" ht="15.75" hidden="false" customHeight="false" outlineLevel="0" collapsed="false">
      <c r="A183" s="0" t="e">
        <f aca="true">INDIRECT("'Ответы на форму (1)'!A"&amp;$N183,TRUE())</f>
        <v>#REF!</v>
      </c>
      <c r="B183" s="0" t="e">
        <f aca="true">INDIRECT("'Ответы на форму (1)'!B"&amp;$N183,TRUE())</f>
        <v>#REF!</v>
      </c>
      <c r="C183" s="0" t="e">
        <f aca="true">INDIRECT("'Ответы на форму (1)'!C"&amp;$N183,TRUE())</f>
        <v>#REF!</v>
      </c>
      <c r="D183" s="0" t="e">
        <f aca="true">INDIRECT("'Ответы на форму (1)'!D"&amp;$N183,TRUE())</f>
        <v>#REF!</v>
      </c>
      <c r="E183" s="0" t="str">
        <f aca="false">IFERROR(__xludf.dummyfunction("iferror(VALUE(REGEXEXTRACT(TEXT(INDIRECT(""'Ответы на форму (1)'!E""&amp;$N183,TRUE),""####""),""[0-9]+"")),IF(IFERROR(SEARCH(""моцро"",INDIRECT(""'Ответы на форму (1)'!E""&amp;$N183,TRUE)),-1) &gt;= 0,117,INDIRECT(""'Ответы на форму (1)'!E""&amp;$N183,TRUE)))"),"")</f>
        <v/>
      </c>
      <c r="F183" s="0" t="e">
        <f aca="true">INDIRECT("'Ответы на форму (1)'!F"&amp;$N183,TRUE())</f>
        <v>#REF!</v>
      </c>
      <c r="G183" s="0" t="e">
        <f aca="true">IFERROR(MID(INDIRECT("'Ответы на форму (1)'!G"&amp;$N183,TRUE()),SEARCH("vk.com",INDIRECT("'Ответы на форму (1)'!G"&amp;$N183,TRUE())),LEN(INDIRECT("'Ответы на форму (1)'!G"&amp;$N183,TRUE()))),INDIRECT("'Ответы на форму (1)'!G"&amp;$N183,TRUE()))</f>
        <v>#REF!</v>
      </c>
      <c r="H183" s="0" t="e">
        <f aca="true">INDIRECT("'Ответы на форму (1)'!H"&amp;$N183,TRUE())</f>
        <v>#REF!</v>
      </c>
      <c r="I183" s="12" t="e">
        <f aca="true">INDIRECT("'Ответы на форму (1)'!I"&amp;$N183,TRUE())</f>
        <v>#REF!</v>
      </c>
      <c r="J183" s="12" t="e">
        <f aca="true">INDIRECT("'Ответы на форму (1)'!J"&amp;$N183,TRUE())</f>
        <v>#REF!</v>
      </c>
      <c r="K183" s="12" t="e">
        <f aca="true">INDIRECT("'Ответы на форму (1)'!K"&amp;$N183,TRUE())</f>
        <v>#REF!</v>
      </c>
      <c r="L183" s="12" t="e">
        <f aca="true">INDIRECT("'Ответы на форму (1)'!L"&amp;$N183,TRUE())</f>
        <v>#REF!</v>
      </c>
      <c r="M183" s="0" t="e">
        <f aca="false" t="array" ref="M183:M183">IF(B183 &lt;&gt; "",IF(COUNTIF(concat(TRIM('Список прошлого года'!$B$2:$B$200),TRIM('Список прошлого года'!$C$2:$C$200)),concat(TRIM(B183),TRIM(C183))) &gt; 0,"Да","Нет"),"")</f>
        <v>#REF!</v>
      </c>
      <c r="N183" s="1" t="n">
        <v>206</v>
      </c>
      <c r="O183" s="1" t="n">
        <f aca="false">IF(NOT(ISBLANK(B183)), 0,"")</f>
        <v>0</v>
      </c>
      <c r="Q183" s="1" t="n">
        <f aca="false">FALSE()</f>
        <v>0</v>
      </c>
      <c r="R183" s="1" t="n">
        <f aca="false">FALSE()</f>
        <v>0</v>
      </c>
      <c r="S183" s="1" t="n">
        <f aca="false">FALSE()</f>
        <v>0</v>
      </c>
      <c r="T183" s="1" t="n">
        <f aca="false">FALSE()</f>
        <v>0</v>
      </c>
      <c r="U183" s="1" t="n">
        <f aca="false">FALSE()</f>
        <v>0</v>
      </c>
      <c r="V183" s="1" t="n">
        <f aca="false">FALSE()</f>
        <v>0</v>
      </c>
      <c r="W183" s="1" t="n">
        <f aca="false">FALSE()</f>
        <v>0</v>
      </c>
      <c r="X183" s="1" t="n">
        <f aca="false">FALSE()</f>
        <v>0</v>
      </c>
      <c r="Y183" s="1" t="n">
        <f aca="false">FALSE()</f>
        <v>0</v>
      </c>
      <c r="Z183" s="1" t="n">
        <f aca="false">FALSE()</f>
        <v>0</v>
      </c>
      <c r="AA183" s="1" t="n">
        <f aca="false">FALSE()</f>
        <v>0</v>
      </c>
      <c r="AB183" s="1" t="n">
        <f aca="false">FALSE()</f>
        <v>0</v>
      </c>
      <c r="AC183" s="1" t="n">
        <f aca="false">FALSE()</f>
        <v>0</v>
      </c>
      <c r="AD183" s="1" t="n">
        <f aca="false">FALSE()</f>
        <v>0</v>
      </c>
      <c r="AE183" s="1" t="n">
        <f aca="false">FALSE()</f>
        <v>0</v>
      </c>
      <c r="AF183" s="1" t="n">
        <f aca="false">FALSE()</f>
        <v>0</v>
      </c>
      <c r="AG183" s="1" t="n">
        <f aca="false">FALSE()</f>
        <v>0</v>
      </c>
      <c r="AH183" s="1" t="n">
        <f aca="false">FALSE()</f>
        <v>0</v>
      </c>
      <c r="AI183" s="1" t="n">
        <f aca="false">FALSE()</f>
        <v>0</v>
      </c>
      <c r="AJ183" s="1" t="n">
        <f aca="false">FALSE()</f>
        <v>0</v>
      </c>
      <c r="AK183" s="1" t="n">
        <f aca="false" t="array" ref="AK183:AK183">SUM(IF(Q183:U183,1,0))</f>
        <v>0</v>
      </c>
      <c r="AL183" s="14" t="n">
        <f aca="false" t="array" ref="AL183:AL183">SUM(IF(V183:Z183,1,0))</f>
        <v>0</v>
      </c>
      <c r="AM183" s="14" t="n">
        <f aca="false" t="array" ref="AM183:AM183">SUM(IF(AA183:AE183,1,0))</f>
        <v>0</v>
      </c>
      <c r="AN183" s="14" t="n">
        <f aca="false" t="array" ref="AN183:AN183">SUM(IF(AF183:AJ183,1,0))</f>
        <v>0</v>
      </c>
      <c r="AO183" s="1" t="n">
        <f aca="false">FALSE()</f>
        <v>0</v>
      </c>
      <c r="AP183" s="1" t="n">
        <f aca="false">IF(O183 = 2,COUNTIF(Q183:AJ183,"TRUE"),-1)</f>
        <v>-1</v>
      </c>
    </row>
    <row r="184" customFormat="false" ht="15.75" hidden="false" customHeight="false" outlineLevel="0" collapsed="false">
      <c r="A184" s="0" t="e">
        <f aca="true">INDIRECT("'Ответы на форму (1)'!A"&amp;$N184,TRUE())</f>
        <v>#REF!</v>
      </c>
      <c r="B184" s="0" t="e">
        <f aca="true">INDIRECT("'Ответы на форму (1)'!B"&amp;$N184,TRUE())</f>
        <v>#REF!</v>
      </c>
      <c r="C184" s="0" t="e">
        <f aca="true">INDIRECT("'Ответы на форму (1)'!C"&amp;$N184,TRUE())</f>
        <v>#REF!</v>
      </c>
      <c r="D184" s="0" t="e">
        <f aca="true">INDIRECT("'Ответы на форму (1)'!D"&amp;$N184,TRUE())</f>
        <v>#REF!</v>
      </c>
      <c r="E184" s="0" t="str">
        <f aca="false">IFERROR(__xludf.dummyfunction("iferror(VALUE(REGEXEXTRACT(TEXT(INDIRECT(""'Ответы на форму (1)'!E""&amp;$N184,TRUE),""####""),""[0-9]+"")),IF(IFERROR(SEARCH(""моцро"",INDIRECT(""'Ответы на форму (1)'!E""&amp;$N184,TRUE)),-1) &gt;= 0,117,INDIRECT(""'Ответы на форму (1)'!E""&amp;$N184,TRUE)))"),"")</f>
        <v/>
      </c>
      <c r="F184" s="0" t="e">
        <f aca="true">INDIRECT("'Ответы на форму (1)'!F"&amp;$N184,TRUE())</f>
        <v>#REF!</v>
      </c>
      <c r="G184" s="0" t="e">
        <f aca="true">IFERROR(MID(INDIRECT("'Ответы на форму (1)'!G"&amp;$N184,TRUE()),SEARCH("vk.com",INDIRECT("'Ответы на форму (1)'!G"&amp;$N184,TRUE())),LEN(INDIRECT("'Ответы на форму (1)'!G"&amp;$N184,TRUE()))),INDIRECT("'Ответы на форму (1)'!G"&amp;$N184,TRUE()))</f>
        <v>#REF!</v>
      </c>
      <c r="H184" s="0" t="e">
        <f aca="true">INDIRECT("'Ответы на форму (1)'!H"&amp;$N184,TRUE())</f>
        <v>#REF!</v>
      </c>
      <c r="I184" s="12" t="e">
        <f aca="true">INDIRECT("'Ответы на форму (1)'!I"&amp;$N184,TRUE())</f>
        <v>#REF!</v>
      </c>
      <c r="J184" s="12" t="e">
        <f aca="true">INDIRECT("'Ответы на форму (1)'!J"&amp;$N184,TRUE())</f>
        <v>#REF!</v>
      </c>
      <c r="K184" s="12" t="e">
        <f aca="true">INDIRECT("'Ответы на форму (1)'!K"&amp;$N184,TRUE())</f>
        <v>#REF!</v>
      </c>
      <c r="L184" s="12" t="e">
        <f aca="true">INDIRECT("'Ответы на форму (1)'!L"&amp;$N184,TRUE())</f>
        <v>#REF!</v>
      </c>
      <c r="M184" s="0" t="e">
        <f aca="false" t="array" ref="M184:M184">IF(B184 &lt;&gt; "",IF(COUNTIF(concat(TRIM('Список прошлого года'!$B$2:$B$200),TRIM('Список прошлого года'!$C$2:$C$200)),concat(TRIM(B184),TRIM(C184))) &gt; 0,"Да","Нет"),"")</f>
        <v>#REF!</v>
      </c>
      <c r="N184" s="1" t="n">
        <v>207</v>
      </c>
      <c r="O184" s="1" t="n">
        <f aca="false">IF(NOT(ISBLANK(B184)), 0,"")</f>
        <v>0</v>
      </c>
      <c r="Q184" s="1" t="n">
        <f aca="false">FALSE()</f>
        <v>0</v>
      </c>
      <c r="R184" s="1" t="n">
        <f aca="false">FALSE()</f>
        <v>0</v>
      </c>
      <c r="S184" s="1" t="n">
        <f aca="false">FALSE()</f>
        <v>0</v>
      </c>
      <c r="T184" s="1" t="n">
        <f aca="false">FALSE()</f>
        <v>0</v>
      </c>
      <c r="U184" s="1" t="n">
        <f aca="false">FALSE()</f>
        <v>0</v>
      </c>
      <c r="V184" s="1" t="n">
        <f aca="false">FALSE()</f>
        <v>0</v>
      </c>
      <c r="W184" s="1" t="n">
        <f aca="false">FALSE()</f>
        <v>0</v>
      </c>
      <c r="X184" s="1" t="n">
        <f aca="false">FALSE()</f>
        <v>0</v>
      </c>
      <c r="Y184" s="1" t="n">
        <f aca="false">FALSE()</f>
        <v>0</v>
      </c>
      <c r="Z184" s="1" t="n">
        <f aca="false">FALSE()</f>
        <v>0</v>
      </c>
      <c r="AA184" s="1" t="n">
        <f aca="false">FALSE()</f>
        <v>0</v>
      </c>
      <c r="AB184" s="1" t="n">
        <f aca="false">FALSE()</f>
        <v>0</v>
      </c>
      <c r="AC184" s="1" t="n">
        <f aca="false">FALSE()</f>
        <v>0</v>
      </c>
      <c r="AD184" s="1" t="n">
        <f aca="false">FALSE()</f>
        <v>0</v>
      </c>
      <c r="AE184" s="1" t="n">
        <f aca="false">FALSE()</f>
        <v>0</v>
      </c>
      <c r="AF184" s="1" t="n">
        <f aca="false">FALSE()</f>
        <v>0</v>
      </c>
      <c r="AG184" s="1" t="n">
        <f aca="false">FALSE()</f>
        <v>0</v>
      </c>
      <c r="AH184" s="1" t="n">
        <f aca="false">FALSE()</f>
        <v>0</v>
      </c>
      <c r="AI184" s="1" t="n">
        <f aca="false">FALSE()</f>
        <v>0</v>
      </c>
      <c r="AJ184" s="1" t="n">
        <f aca="false">FALSE()</f>
        <v>0</v>
      </c>
      <c r="AK184" s="1" t="n">
        <f aca="false" t="array" ref="AK184:AK184">SUM(IF(Q184:U184,1,0))</f>
        <v>0</v>
      </c>
      <c r="AL184" s="14" t="n">
        <f aca="false" t="array" ref="AL184:AL184">SUM(IF(V184:Z184,1,0))</f>
        <v>0</v>
      </c>
      <c r="AM184" s="14" t="n">
        <f aca="false" t="array" ref="AM184:AM184">SUM(IF(AA184:AE184,1,0))</f>
        <v>0</v>
      </c>
      <c r="AN184" s="14" t="n">
        <f aca="false" t="array" ref="AN184:AN184">SUM(IF(AF184:AJ184,1,0))</f>
        <v>0</v>
      </c>
      <c r="AO184" s="1" t="n">
        <f aca="false">FALSE()</f>
        <v>0</v>
      </c>
      <c r="AP184" s="1" t="n">
        <f aca="false">IF(O184 = 2,COUNTIF(Q184:AJ184,"TRUE"),-1)</f>
        <v>-1</v>
      </c>
    </row>
    <row r="185" customFormat="false" ht="15.75" hidden="false" customHeight="false" outlineLevel="0" collapsed="false">
      <c r="A185" s="0" t="e">
        <f aca="true">INDIRECT("'Ответы на форму (1)'!A"&amp;$N185,TRUE())</f>
        <v>#REF!</v>
      </c>
      <c r="B185" s="0" t="e">
        <f aca="true">INDIRECT("'Ответы на форму (1)'!B"&amp;$N185,TRUE())</f>
        <v>#REF!</v>
      </c>
      <c r="C185" s="0" t="e">
        <f aca="true">INDIRECT("'Ответы на форму (1)'!C"&amp;$N185,TRUE())</f>
        <v>#REF!</v>
      </c>
      <c r="D185" s="0" t="e">
        <f aca="true">INDIRECT("'Ответы на форму (1)'!D"&amp;$N185,TRUE())</f>
        <v>#REF!</v>
      </c>
      <c r="E185" s="0" t="str">
        <f aca="false">IFERROR(__xludf.dummyfunction("iferror(VALUE(REGEXEXTRACT(TEXT(INDIRECT(""'Ответы на форму (1)'!E""&amp;$N185,TRUE),""####""),""[0-9]+"")),IF(IFERROR(SEARCH(""моцро"",INDIRECT(""'Ответы на форму (1)'!E""&amp;$N185,TRUE)),-1) &gt;= 0,117,INDIRECT(""'Ответы на форму (1)'!E""&amp;$N185,TRUE)))"),"")</f>
        <v/>
      </c>
      <c r="F185" s="0" t="e">
        <f aca="true">INDIRECT("'Ответы на форму (1)'!F"&amp;$N185,TRUE())</f>
        <v>#REF!</v>
      </c>
      <c r="G185" s="0" t="e">
        <f aca="true">IFERROR(MID(INDIRECT("'Ответы на форму (1)'!G"&amp;$N185,TRUE()),SEARCH("vk.com",INDIRECT("'Ответы на форму (1)'!G"&amp;$N185,TRUE())),LEN(INDIRECT("'Ответы на форму (1)'!G"&amp;$N185,TRUE()))),INDIRECT("'Ответы на форму (1)'!G"&amp;$N185,TRUE()))</f>
        <v>#REF!</v>
      </c>
      <c r="H185" s="0" t="e">
        <f aca="true">INDIRECT("'Ответы на форму (1)'!H"&amp;$N185,TRUE())</f>
        <v>#REF!</v>
      </c>
      <c r="I185" s="12" t="e">
        <f aca="true">INDIRECT("'Ответы на форму (1)'!I"&amp;$N185,TRUE())</f>
        <v>#REF!</v>
      </c>
      <c r="J185" s="12" t="e">
        <f aca="true">INDIRECT("'Ответы на форму (1)'!J"&amp;$N185,TRUE())</f>
        <v>#REF!</v>
      </c>
      <c r="K185" s="12" t="e">
        <f aca="true">INDIRECT("'Ответы на форму (1)'!K"&amp;$N185,TRUE())</f>
        <v>#REF!</v>
      </c>
      <c r="L185" s="12" t="e">
        <f aca="true">INDIRECT("'Ответы на форму (1)'!L"&amp;$N185,TRUE())</f>
        <v>#REF!</v>
      </c>
      <c r="M185" s="0" t="e">
        <f aca="false" t="array" ref="M185:M185">IF(B185 &lt;&gt; "",IF(COUNTIF(concat(TRIM('Список прошлого года'!$B$2:$B$200),TRIM('Список прошлого года'!$C$2:$C$200)),concat(TRIM(B185),TRIM(C185))) &gt; 0,"Да","Нет"),"")</f>
        <v>#REF!</v>
      </c>
      <c r="N185" s="1" t="n">
        <v>208</v>
      </c>
      <c r="O185" s="1" t="n">
        <f aca="false">IF(NOT(ISBLANK(B185)), 0,"")</f>
        <v>0</v>
      </c>
      <c r="Q185" s="1" t="n">
        <f aca="false">FALSE()</f>
        <v>0</v>
      </c>
      <c r="R185" s="1" t="n">
        <f aca="false">FALSE()</f>
        <v>0</v>
      </c>
      <c r="S185" s="1" t="n">
        <f aca="false">FALSE()</f>
        <v>0</v>
      </c>
      <c r="T185" s="1" t="n">
        <f aca="false">FALSE()</f>
        <v>0</v>
      </c>
      <c r="U185" s="1" t="n">
        <f aca="false">FALSE()</f>
        <v>0</v>
      </c>
      <c r="V185" s="1" t="n">
        <f aca="false">FALSE()</f>
        <v>0</v>
      </c>
      <c r="W185" s="1" t="n">
        <f aca="false">FALSE()</f>
        <v>0</v>
      </c>
      <c r="X185" s="1" t="n">
        <f aca="false">FALSE()</f>
        <v>0</v>
      </c>
      <c r="Y185" s="1" t="n">
        <f aca="false">FALSE()</f>
        <v>0</v>
      </c>
      <c r="Z185" s="1" t="n">
        <f aca="false">FALSE()</f>
        <v>0</v>
      </c>
      <c r="AA185" s="1" t="n">
        <f aca="false">FALSE()</f>
        <v>0</v>
      </c>
      <c r="AB185" s="1" t="n">
        <f aca="false">FALSE()</f>
        <v>0</v>
      </c>
      <c r="AC185" s="1" t="n">
        <f aca="false">FALSE()</f>
        <v>0</v>
      </c>
      <c r="AD185" s="1" t="n">
        <f aca="false">FALSE()</f>
        <v>0</v>
      </c>
      <c r="AE185" s="1" t="n">
        <f aca="false">FALSE()</f>
        <v>0</v>
      </c>
      <c r="AF185" s="1" t="n">
        <f aca="false">FALSE()</f>
        <v>0</v>
      </c>
      <c r="AG185" s="1" t="n">
        <f aca="false">FALSE()</f>
        <v>0</v>
      </c>
      <c r="AH185" s="1" t="n">
        <f aca="false">FALSE()</f>
        <v>0</v>
      </c>
      <c r="AI185" s="1" t="n">
        <f aca="false">FALSE()</f>
        <v>0</v>
      </c>
      <c r="AJ185" s="1" t="n">
        <f aca="false">FALSE()</f>
        <v>0</v>
      </c>
      <c r="AK185" s="1" t="n">
        <f aca="false" t="array" ref="AK185:AK185">SUM(IF(Q185:U185,1,0))</f>
        <v>0</v>
      </c>
      <c r="AL185" s="14" t="n">
        <f aca="false" t="array" ref="AL185:AL185">SUM(IF(V185:Z185,1,0))</f>
        <v>0</v>
      </c>
      <c r="AM185" s="14" t="n">
        <f aca="false" t="array" ref="AM185:AM185">SUM(IF(AA185:AE185,1,0))</f>
        <v>0</v>
      </c>
      <c r="AN185" s="14" t="n">
        <f aca="false" t="array" ref="AN185:AN185">SUM(IF(AF185:AJ185,1,0))</f>
        <v>0</v>
      </c>
      <c r="AO185" s="1" t="n">
        <f aca="false">FALSE()</f>
        <v>0</v>
      </c>
      <c r="AP185" s="1" t="n">
        <f aca="false">IF(O185 = 2,COUNTIF(Q185:AJ185,"TRUE"),-1)</f>
        <v>-1</v>
      </c>
    </row>
    <row r="186" customFormat="false" ht="15.75" hidden="false" customHeight="false" outlineLevel="0" collapsed="false">
      <c r="A186" s="0" t="e">
        <f aca="true">INDIRECT("'Ответы на форму (1)'!A"&amp;$N186,TRUE())</f>
        <v>#REF!</v>
      </c>
      <c r="B186" s="0" t="e">
        <f aca="true">INDIRECT("'Ответы на форму (1)'!B"&amp;$N186,TRUE())</f>
        <v>#REF!</v>
      </c>
      <c r="C186" s="0" t="e">
        <f aca="true">INDIRECT("'Ответы на форму (1)'!C"&amp;$N186,TRUE())</f>
        <v>#REF!</v>
      </c>
      <c r="D186" s="0" t="e">
        <f aca="true">INDIRECT("'Ответы на форму (1)'!D"&amp;$N186,TRUE())</f>
        <v>#REF!</v>
      </c>
      <c r="E186" s="0" t="str">
        <f aca="false">IFERROR(__xludf.dummyfunction("iferror(VALUE(REGEXEXTRACT(TEXT(INDIRECT(""'Ответы на форму (1)'!E""&amp;$N186,TRUE),""####""),""[0-9]+"")),IF(IFERROR(SEARCH(""моцро"",INDIRECT(""'Ответы на форму (1)'!E""&amp;$N186,TRUE)),-1) &gt;= 0,117,INDIRECT(""'Ответы на форму (1)'!E""&amp;$N186,TRUE)))"),"")</f>
        <v/>
      </c>
      <c r="F186" s="0" t="e">
        <f aca="true">INDIRECT("'Ответы на форму (1)'!F"&amp;$N186,TRUE())</f>
        <v>#REF!</v>
      </c>
      <c r="G186" s="0" t="e">
        <f aca="true">IFERROR(MID(INDIRECT("'Ответы на форму (1)'!G"&amp;$N186,TRUE()),SEARCH("vk.com",INDIRECT("'Ответы на форму (1)'!G"&amp;$N186,TRUE())),LEN(INDIRECT("'Ответы на форму (1)'!G"&amp;$N186,TRUE()))),INDIRECT("'Ответы на форму (1)'!G"&amp;$N186,TRUE()))</f>
        <v>#REF!</v>
      </c>
      <c r="H186" s="0" t="e">
        <f aca="true">INDIRECT("'Ответы на форму (1)'!H"&amp;$N186,TRUE())</f>
        <v>#REF!</v>
      </c>
      <c r="I186" s="12" t="e">
        <f aca="true">INDIRECT("'Ответы на форму (1)'!I"&amp;$N186,TRUE())</f>
        <v>#REF!</v>
      </c>
      <c r="J186" s="12" t="e">
        <f aca="true">INDIRECT("'Ответы на форму (1)'!J"&amp;$N186,TRUE())</f>
        <v>#REF!</v>
      </c>
      <c r="K186" s="12" t="e">
        <f aca="true">INDIRECT("'Ответы на форму (1)'!K"&amp;$N186,TRUE())</f>
        <v>#REF!</v>
      </c>
      <c r="L186" s="12" t="e">
        <f aca="true">INDIRECT("'Ответы на форму (1)'!L"&amp;$N186,TRUE())</f>
        <v>#REF!</v>
      </c>
      <c r="M186" s="0" t="e">
        <f aca="false" t="array" ref="M186:M186">IF(B186 &lt;&gt; "",IF(COUNTIF(concat(TRIM('Список прошлого года'!$B$2:$B$200),TRIM('Список прошлого года'!$C$2:$C$200)),concat(TRIM(B186),TRIM(C186))) &gt; 0,"Да","Нет"),"")</f>
        <v>#REF!</v>
      </c>
      <c r="N186" s="1" t="n">
        <v>209</v>
      </c>
      <c r="O186" s="1" t="n">
        <f aca="false">IF(NOT(ISBLANK(B186)), 0,"")</f>
        <v>0</v>
      </c>
      <c r="Q186" s="1" t="n">
        <f aca="false">FALSE()</f>
        <v>0</v>
      </c>
      <c r="R186" s="1" t="n">
        <f aca="false">FALSE()</f>
        <v>0</v>
      </c>
      <c r="S186" s="1" t="n">
        <f aca="false">FALSE()</f>
        <v>0</v>
      </c>
      <c r="T186" s="1" t="n">
        <f aca="false">FALSE()</f>
        <v>0</v>
      </c>
      <c r="U186" s="1" t="n">
        <f aca="false">FALSE()</f>
        <v>0</v>
      </c>
      <c r="V186" s="1" t="n">
        <f aca="false">FALSE()</f>
        <v>0</v>
      </c>
      <c r="W186" s="1" t="n">
        <f aca="false">FALSE()</f>
        <v>0</v>
      </c>
      <c r="X186" s="1" t="n">
        <f aca="false">FALSE()</f>
        <v>0</v>
      </c>
      <c r="Y186" s="1" t="n">
        <f aca="false">FALSE()</f>
        <v>0</v>
      </c>
      <c r="Z186" s="1" t="n">
        <f aca="false">FALSE()</f>
        <v>0</v>
      </c>
      <c r="AA186" s="1" t="n">
        <f aca="false">FALSE()</f>
        <v>0</v>
      </c>
      <c r="AB186" s="1" t="n">
        <f aca="false">FALSE()</f>
        <v>0</v>
      </c>
      <c r="AC186" s="1" t="n">
        <f aca="false">FALSE()</f>
        <v>0</v>
      </c>
      <c r="AD186" s="1" t="n">
        <f aca="false">FALSE()</f>
        <v>0</v>
      </c>
      <c r="AE186" s="1" t="n">
        <f aca="false">FALSE()</f>
        <v>0</v>
      </c>
      <c r="AF186" s="1" t="n">
        <f aca="false">FALSE()</f>
        <v>0</v>
      </c>
      <c r="AG186" s="1" t="n">
        <f aca="false">FALSE()</f>
        <v>0</v>
      </c>
      <c r="AH186" s="1" t="n">
        <f aca="false">FALSE()</f>
        <v>0</v>
      </c>
      <c r="AI186" s="1" t="n">
        <f aca="false">FALSE()</f>
        <v>0</v>
      </c>
      <c r="AJ186" s="1" t="n">
        <f aca="false">FALSE()</f>
        <v>0</v>
      </c>
      <c r="AK186" s="1" t="n">
        <f aca="false" t="array" ref="AK186:AK186">SUM(IF(Q186:U186,1,0))</f>
        <v>0</v>
      </c>
      <c r="AL186" s="14" t="n">
        <f aca="false" t="array" ref="AL186:AL186">SUM(IF(V186:Z186,1,0))</f>
        <v>0</v>
      </c>
      <c r="AM186" s="14" t="n">
        <f aca="false" t="array" ref="AM186:AM186">SUM(IF(AA186:AE186,1,0))</f>
        <v>0</v>
      </c>
      <c r="AN186" s="14" t="n">
        <f aca="false" t="array" ref="AN186:AN186">SUM(IF(AF186:AJ186,1,0))</f>
        <v>0</v>
      </c>
      <c r="AO186" s="1" t="n">
        <f aca="false">FALSE()</f>
        <v>0</v>
      </c>
      <c r="AP186" s="1" t="n">
        <f aca="false">IF(O186 = 2,COUNTIF(Q186:AJ186,"TRUE"),-1)</f>
        <v>-1</v>
      </c>
    </row>
    <row r="187" customFormat="false" ht="15.75" hidden="false" customHeight="false" outlineLevel="0" collapsed="false">
      <c r="A187" s="0" t="e">
        <f aca="true">INDIRECT("'Ответы на форму (1)'!A"&amp;$N187,TRUE())</f>
        <v>#REF!</v>
      </c>
      <c r="B187" s="0" t="e">
        <f aca="true">INDIRECT("'Ответы на форму (1)'!B"&amp;$N187,TRUE())</f>
        <v>#REF!</v>
      </c>
      <c r="C187" s="0" t="e">
        <f aca="true">INDIRECT("'Ответы на форму (1)'!C"&amp;$N187,TRUE())</f>
        <v>#REF!</v>
      </c>
      <c r="D187" s="0" t="e">
        <f aca="true">INDIRECT("'Ответы на форму (1)'!D"&amp;$N187,TRUE())</f>
        <v>#REF!</v>
      </c>
      <c r="E187" s="0" t="str">
        <f aca="false">IFERROR(__xludf.dummyfunction("iferror(VALUE(REGEXEXTRACT(TEXT(INDIRECT(""'Ответы на форму (1)'!E""&amp;$N187,TRUE),""####""),""[0-9]+"")),IF(IFERROR(SEARCH(""моцро"",INDIRECT(""'Ответы на форму (1)'!E""&amp;$N187,TRUE)),-1) &gt;= 0,117,INDIRECT(""'Ответы на форму (1)'!E""&amp;$N187,TRUE)))"),"")</f>
        <v/>
      </c>
      <c r="F187" s="0" t="e">
        <f aca="true">INDIRECT("'Ответы на форму (1)'!F"&amp;$N187,TRUE())</f>
        <v>#REF!</v>
      </c>
      <c r="G187" s="0" t="e">
        <f aca="true">IFERROR(MID(INDIRECT("'Ответы на форму (1)'!G"&amp;$N187,TRUE()),SEARCH("vk.com",INDIRECT("'Ответы на форму (1)'!G"&amp;$N187,TRUE())),LEN(INDIRECT("'Ответы на форму (1)'!G"&amp;$N187,TRUE()))),INDIRECT("'Ответы на форму (1)'!G"&amp;$N187,TRUE()))</f>
        <v>#REF!</v>
      </c>
      <c r="H187" s="0" t="e">
        <f aca="true">INDIRECT("'Ответы на форму (1)'!H"&amp;$N187,TRUE())</f>
        <v>#REF!</v>
      </c>
      <c r="I187" s="12" t="e">
        <f aca="true">INDIRECT("'Ответы на форму (1)'!I"&amp;$N187,TRUE())</f>
        <v>#REF!</v>
      </c>
      <c r="J187" s="12" t="e">
        <f aca="true">INDIRECT("'Ответы на форму (1)'!J"&amp;$N187,TRUE())</f>
        <v>#REF!</v>
      </c>
      <c r="K187" s="12" t="e">
        <f aca="true">INDIRECT("'Ответы на форму (1)'!K"&amp;$N187,TRUE())</f>
        <v>#REF!</v>
      </c>
      <c r="L187" s="12" t="e">
        <f aca="true">INDIRECT("'Ответы на форму (1)'!L"&amp;$N187,TRUE())</f>
        <v>#REF!</v>
      </c>
      <c r="M187" s="0" t="e">
        <f aca="false" t="array" ref="M187:M187">IF(B187 &lt;&gt; "",IF(COUNTIF(concat(TRIM('Список прошлого года'!$B$2:$B$200),TRIM('Список прошлого года'!$C$2:$C$200)),concat(TRIM(B187),TRIM(C187))) &gt; 0,"Да","Нет"),"")</f>
        <v>#REF!</v>
      </c>
      <c r="N187" s="1" t="n">
        <v>210</v>
      </c>
      <c r="O187" s="1" t="n">
        <f aca="false">IF(NOT(ISBLANK(B187)), 0,"")</f>
        <v>0</v>
      </c>
      <c r="Q187" s="1" t="n">
        <f aca="false">FALSE()</f>
        <v>0</v>
      </c>
      <c r="R187" s="1" t="n">
        <f aca="false">FALSE()</f>
        <v>0</v>
      </c>
      <c r="S187" s="1" t="n">
        <f aca="false">FALSE()</f>
        <v>0</v>
      </c>
      <c r="T187" s="1" t="n">
        <f aca="false">FALSE()</f>
        <v>0</v>
      </c>
      <c r="U187" s="1" t="n">
        <f aca="false">FALSE()</f>
        <v>0</v>
      </c>
      <c r="V187" s="1" t="n">
        <f aca="false">FALSE()</f>
        <v>0</v>
      </c>
      <c r="W187" s="1" t="n">
        <f aca="false">FALSE()</f>
        <v>0</v>
      </c>
      <c r="X187" s="1" t="n">
        <f aca="false">FALSE()</f>
        <v>0</v>
      </c>
      <c r="Y187" s="1" t="n">
        <f aca="false">FALSE()</f>
        <v>0</v>
      </c>
      <c r="Z187" s="1" t="n">
        <f aca="false">FALSE()</f>
        <v>0</v>
      </c>
      <c r="AA187" s="1" t="n">
        <f aca="false">FALSE()</f>
        <v>0</v>
      </c>
      <c r="AB187" s="1" t="n">
        <f aca="false">FALSE()</f>
        <v>0</v>
      </c>
      <c r="AC187" s="1" t="n">
        <f aca="false">FALSE()</f>
        <v>0</v>
      </c>
      <c r="AD187" s="1" t="n">
        <f aca="false">FALSE()</f>
        <v>0</v>
      </c>
      <c r="AE187" s="1" t="n">
        <f aca="false">FALSE()</f>
        <v>0</v>
      </c>
      <c r="AF187" s="1" t="n">
        <f aca="false">FALSE()</f>
        <v>0</v>
      </c>
      <c r="AG187" s="1" t="n">
        <f aca="false">FALSE()</f>
        <v>0</v>
      </c>
      <c r="AH187" s="1" t="n">
        <f aca="false">FALSE()</f>
        <v>0</v>
      </c>
      <c r="AI187" s="1" t="n">
        <f aca="false">FALSE()</f>
        <v>0</v>
      </c>
      <c r="AJ187" s="1" t="n">
        <f aca="false">FALSE()</f>
        <v>0</v>
      </c>
      <c r="AK187" s="1" t="n">
        <f aca="false" t="array" ref="AK187:AK187">SUM(IF(Q187:U187,1,0))</f>
        <v>0</v>
      </c>
      <c r="AL187" s="14" t="n">
        <f aca="false" t="array" ref="AL187:AL187">SUM(IF(V187:Z187,1,0))</f>
        <v>0</v>
      </c>
      <c r="AM187" s="14" t="n">
        <f aca="false" t="array" ref="AM187:AM187">SUM(IF(AA187:AE187,1,0))</f>
        <v>0</v>
      </c>
      <c r="AN187" s="14" t="n">
        <f aca="false" t="array" ref="AN187:AN187">SUM(IF(AF187:AJ187,1,0))</f>
        <v>0</v>
      </c>
      <c r="AO187" s="1" t="n">
        <f aca="false">FALSE()</f>
        <v>0</v>
      </c>
      <c r="AP187" s="1" t="n">
        <f aca="false">IF(O187 = 2,COUNTIF(Q187:AJ187,"TRUE"),-1)</f>
        <v>-1</v>
      </c>
    </row>
    <row r="188" customFormat="false" ht="15.75" hidden="false" customHeight="false" outlineLevel="0" collapsed="false">
      <c r="A188" s="0" t="e">
        <f aca="true">INDIRECT("'Ответы на форму (1)'!A"&amp;$N188,TRUE())</f>
        <v>#REF!</v>
      </c>
      <c r="B188" s="0" t="e">
        <f aca="true">INDIRECT("'Ответы на форму (1)'!B"&amp;$N188,TRUE())</f>
        <v>#REF!</v>
      </c>
      <c r="C188" s="0" t="e">
        <f aca="true">INDIRECT("'Ответы на форму (1)'!C"&amp;$N188,TRUE())</f>
        <v>#REF!</v>
      </c>
      <c r="D188" s="0" t="e">
        <f aca="true">INDIRECT("'Ответы на форму (1)'!D"&amp;$N188,TRUE())</f>
        <v>#REF!</v>
      </c>
      <c r="E188" s="0" t="str">
        <f aca="false">IFERROR(__xludf.dummyfunction("iferror(VALUE(REGEXEXTRACT(TEXT(INDIRECT(""'Ответы на форму (1)'!E""&amp;$N188,TRUE),""####""),""[0-9]+"")),IF(IFERROR(SEARCH(""моцро"",INDIRECT(""'Ответы на форму (1)'!E""&amp;$N188,TRUE)),-1) &gt;= 0,117,INDIRECT(""'Ответы на форму (1)'!E""&amp;$N188,TRUE)))"),"")</f>
        <v/>
      </c>
      <c r="F188" s="0" t="e">
        <f aca="true">INDIRECT("'Ответы на форму (1)'!F"&amp;$N188,TRUE())</f>
        <v>#REF!</v>
      </c>
      <c r="G188" s="0" t="e">
        <f aca="true">IFERROR(MID(INDIRECT("'Ответы на форму (1)'!G"&amp;$N188,TRUE()),SEARCH("vk.com",INDIRECT("'Ответы на форму (1)'!G"&amp;$N188,TRUE())),LEN(INDIRECT("'Ответы на форму (1)'!G"&amp;$N188,TRUE()))),INDIRECT("'Ответы на форму (1)'!G"&amp;$N188,TRUE()))</f>
        <v>#REF!</v>
      </c>
      <c r="H188" s="0" t="e">
        <f aca="true">INDIRECT("'Ответы на форму (1)'!H"&amp;$N188,TRUE())</f>
        <v>#REF!</v>
      </c>
      <c r="I188" s="12" t="e">
        <f aca="true">INDIRECT("'Ответы на форму (1)'!I"&amp;$N188,TRUE())</f>
        <v>#REF!</v>
      </c>
      <c r="J188" s="12" t="e">
        <f aca="true">INDIRECT("'Ответы на форму (1)'!J"&amp;$N188,TRUE())</f>
        <v>#REF!</v>
      </c>
      <c r="K188" s="12" t="e">
        <f aca="true">INDIRECT("'Ответы на форму (1)'!K"&amp;$N188,TRUE())</f>
        <v>#REF!</v>
      </c>
      <c r="L188" s="12" t="e">
        <f aca="true">INDIRECT("'Ответы на форму (1)'!L"&amp;$N188,TRUE())</f>
        <v>#REF!</v>
      </c>
      <c r="M188" s="0" t="e">
        <f aca="false" t="array" ref="M188:M188">IF(B188 &lt;&gt; "",IF(COUNTIF(concat(TRIM('Список прошлого года'!$B$2:$B$200),TRIM('Список прошлого года'!$C$2:$C$200)),concat(TRIM(B188),TRIM(C188))) &gt; 0,"Да","Нет"),"")</f>
        <v>#REF!</v>
      </c>
      <c r="N188" s="1" t="n">
        <v>211</v>
      </c>
      <c r="O188" s="1" t="n">
        <f aca="false">IF(NOT(ISBLANK(B188)), 0,"")</f>
        <v>0</v>
      </c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 t="n">
        <f aca="false">COUNTIF(AK2:AK187,"&gt;=3")</f>
        <v>112</v>
      </c>
      <c r="AL188" s="14" t="n">
        <f aca="false">COUNTIF(AL2:AL187,"&gt;=3")</f>
        <v>113</v>
      </c>
      <c r="AM188" s="14" t="n">
        <f aca="false">COUNTIF(AM2:AM187,"&gt;=2")</f>
        <v>103</v>
      </c>
      <c r="AN188" s="14" t="n">
        <f aca="false">COUNTIF(AN2:AN187,"&gt;=2")</f>
        <v>97</v>
      </c>
      <c r="AO188" s="11"/>
      <c r="AP188" s="11" t="n">
        <f aca="false">COUNTIF(AP2:AP187,"=0")+COUNTIF(AP2:AP187,"=1")</f>
        <v>17</v>
      </c>
    </row>
    <row r="189" customFormat="false" ht="15.75" hidden="false" customHeight="false" outlineLevel="0" collapsed="false">
      <c r="A189" s="0" t="e">
        <f aca="true">INDIRECT("'Ответы на форму (1)'!A"&amp;$N189,TRUE())</f>
        <v>#REF!</v>
      </c>
      <c r="B189" s="0" t="e">
        <f aca="true">INDIRECT("'Ответы на форму (1)'!B"&amp;$N189,TRUE())</f>
        <v>#REF!</v>
      </c>
      <c r="C189" s="0" t="e">
        <f aca="true">INDIRECT("'Ответы на форму (1)'!C"&amp;$N189,TRUE())</f>
        <v>#REF!</v>
      </c>
      <c r="D189" s="0" t="e">
        <f aca="true">INDIRECT("'Ответы на форму (1)'!D"&amp;$N189,TRUE())</f>
        <v>#REF!</v>
      </c>
      <c r="E189" s="0" t="str">
        <f aca="false">IFERROR(__xludf.dummyfunction("iferror(VALUE(REGEXEXTRACT(TEXT(INDIRECT(""'Ответы на форму (1)'!E""&amp;$N189,TRUE),""####""),""[0-9]+"")),IF(IFERROR(SEARCH(""моцро"",INDIRECT(""'Ответы на форму (1)'!E""&amp;$N189,TRUE)),-1) &gt;= 0,117,INDIRECT(""'Ответы на форму (1)'!E""&amp;$N189,TRUE)))"),"")</f>
        <v/>
      </c>
      <c r="F189" s="0" t="e">
        <f aca="true">INDIRECT("'Ответы на форму (1)'!F"&amp;$N189,TRUE())</f>
        <v>#REF!</v>
      </c>
      <c r="G189" s="0" t="e">
        <f aca="true">IFERROR(MID(INDIRECT("'Ответы на форму (1)'!G"&amp;$N189,TRUE()),SEARCH("vk.com",INDIRECT("'Ответы на форму (1)'!G"&amp;$N189,TRUE())),LEN(INDIRECT("'Ответы на форму (1)'!G"&amp;$N189,TRUE()))),INDIRECT("'Ответы на форму (1)'!G"&amp;$N189,TRUE()))</f>
        <v>#REF!</v>
      </c>
      <c r="H189" s="0" t="e">
        <f aca="true">INDIRECT("'Ответы на форму (1)'!H"&amp;$N189,TRUE())</f>
        <v>#REF!</v>
      </c>
      <c r="I189" s="12" t="e">
        <f aca="true">INDIRECT("'Ответы на форму (1)'!I"&amp;$N189,TRUE())</f>
        <v>#REF!</v>
      </c>
      <c r="J189" s="12" t="e">
        <f aca="true">INDIRECT("'Ответы на форму (1)'!J"&amp;$N189,TRUE())</f>
        <v>#REF!</v>
      </c>
      <c r="K189" s="12" t="e">
        <f aca="true">INDIRECT("'Ответы на форму (1)'!K"&amp;$N189,TRUE())</f>
        <v>#REF!</v>
      </c>
      <c r="L189" s="12" t="e">
        <f aca="true">INDIRECT("'Ответы на форму (1)'!L"&amp;$N189,TRUE())</f>
        <v>#REF!</v>
      </c>
      <c r="M189" s="0" t="e">
        <f aca="false" t="array" ref="M189:M189">IF(B189 &lt;&gt; "",IF(COUNTIF(concat(TRIM('Список прошлого года'!$B$2:$B$200),TRIM('Список прошлого года'!$C$2:$C$200)),concat(TRIM(B189),TRIM(C189))) &gt; 0,"Да","Нет"),"")</f>
        <v>#REF!</v>
      </c>
      <c r="N189" s="1" t="n">
        <v>212</v>
      </c>
      <c r="O189" s="1" t="n">
        <f aca="false">IF(NOT(ISBLANK(B189)), 0,"")</f>
        <v>0</v>
      </c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</row>
    <row r="190" customFormat="false" ht="15.75" hidden="false" customHeight="false" outlineLevel="0" collapsed="false">
      <c r="A190" s="0" t="e">
        <f aca="true">INDIRECT("'Ответы на форму (1)'!A"&amp;$N190,TRUE())</f>
        <v>#REF!</v>
      </c>
      <c r="B190" s="0" t="e">
        <f aca="true">INDIRECT("'Ответы на форму (1)'!B"&amp;$N190,TRUE())</f>
        <v>#REF!</v>
      </c>
      <c r="C190" s="0" t="e">
        <f aca="true">INDIRECT("'Ответы на форму (1)'!C"&amp;$N190,TRUE())</f>
        <v>#REF!</v>
      </c>
      <c r="D190" s="0" t="e">
        <f aca="true">INDIRECT("'Ответы на форму (1)'!D"&amp;$N190,TRUE())</f>
        <v>#REF!</v>
      </c>
      <c r="E190" s="0" t="str">
        <f aca="false">IFERROR(__xludf.dummyfunction("iferror(VALUE(REGEXEXTRACT(TEXT(INDIRECT(""'Ответы на форму (1)'!E""&amp;$N190,TRUE),""####""),""[0-9]+"")),IF(IFERROR(SEARCH(""моцро"",INDIRECT(""'Ответы на форму (1)'!E""&amp;$N190,TRUE)),-1) &gt;= 0,117,INDIRECT(""'Ответы на форму (1)'!E""&amp;$N190,TRUE)))"),"")</f>
        <v/>
      </c>
      <c r="F190" s="0" t="e">
        <f aca="true">INDIRECT("'Ответы на форму (1)'!F"&amp;$N190,TRUE())</f>
        <v>#REF!</v>
      </c>
      <c r="G190" s="0" t="e">
        <f aca="true">IFERROR(MID(INDIRECT("'Ответы на форму (1)'!G"&amp;$N190,TRUE()),SEARCH("vk.com",INDIRECT("'Ответы на форму (1)'!G"&amp;$N190,TRUE())),LEN(INDIRECT("'Ответы на форму (1)'!G"&amp;$N190,TRUE()))),INDIRECT("'Ответы на форму (1)'!G"&amp;$N190,TRUE()))</f>
        <v>#REF!</v>
      </c>
      <c r="H190" s="0" t="e">
        <f aca="true">INDIRECT("'Ответы на форму (1)'!H"&amp;$N190,TRUE())</f>
        <v>#REF!</v>
      </c>
      <c r="I190" s="12" t="e">
        <f aca="true">INDIRECT("'Ответы на форму (1)'!I"&amp;$N190,TRUE())</f>
        <v>#REF!</v>
      </c>
      <c r="J190" s="12" t="e">
        <f aca="true">INDIRECT("'Ответы на форму (1)'!J"&amp;$N190,TRUE())</f>
        <v>#REF!</v>
      </c>
      <c r="K190" s="12" t="e">
        <f aca="true">INDIRECT("'Ответы на форму (1)'!K"&amp;$N190,TRUE())</f>
        <v>#REF!</v>
      </c>
      <c r="L190" s="12" t="e">
        <f aca="true">INDIRECT("'Ответы на форму (1)'!L"&amp;$N190,TRUE())</f>
        <v>#REF!</v>
      </c>
      <c r="M190" s="0" t="e">
        <f aca="false" t="array" ref="M190:M190">IF(B190 &lt;&gt; "",IF(COUNTIF(concat(TRIM('Список прошлого года'!$B$2:$B$200),TRIM('Список прошлого года'!$C$2:$C$200)),concat(TRIM(B190),TRIM(C190))) &gt; 0,"Да","Нет"),"")</f>
        <v>#REF!</v>
      </c>
      <c r="N190" s="1" t="n">
        <v>213</v>
      </c>
      <c r="O190" s="1" t="n">
        <f aca="false">IF(NOT(ISBLANK(B190)), 0,"")</f>
        <v>0</v>
      </c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</row>
    <row r="191" customFormat="false" ht="15.75" hidden="false" customHeight="false" outlineLevel="0" collapsed="false">
      <c r="A191" s="0" t="e">
        <f aca="true">INDIRECT("'Ответы на форму (1)'!A"&amp;$N191,TRUE())</f>
        <v>#REF!</v>
      </c>
      <c r="B191" s="0" t="e">
        <f aca="true">INDIRECT("'Ответы на форму (1)'!B"&amp;$N191,TRUE())</f>
        <v>#REF!</v>
      </c>
      <c r="C191" s="0" t="e">
        <f aca="true">INDIRECT("'Ответы на форму (1)'!C"&amp;$N191,TRUE())</f>
        <v>#REF!</v>
      </c>
      <c r="D191" s="0" t="e">
        <f aca="true">INDIRECT("'Ответы на форму (1)'!D"&amp;$N191,TRUE())</f>
        <v>#REF!</v>
      </c>
      <c r="E191" s="0" t="str">
        <f aca="false">IFERROR(__xludf.dummyfunction("iferror(VALUE(REGEXEXTRACT(TEXT(INDIRECT(""'Ответы на форму (1)'!E""&amp;$N191,TRUE),""####""),""[0-9]+"")),IF(IFERROR(SEARCH(""моцро"",INDIRECT(""'Ответы на форму (1)'!E""&amp;$N191,TRUE)),-1) &gt;= 0,117,INDIRECT(""'Ответы на форму (1)'!E""&amp;$N191,TRUE)))"),"")</f>
        <v/>
      </c>
      <c r="F191" s="0" t="e">
        <f aca="true">INDIRECT("'Ответы на форму (1)'!F"&amp;$N191,TRUE())</f>
        <v>#REF!</v>
      </c>
      <c r="G191" s="0" t="e">
        <f aca="true">IFERROR(MID(INDIRECT("'Ответы на форму (1)'!G"&amp;$N191,TRUE()),SEARCH("vk.com",INDIRECT("'Ответы на форму (1)'!G"&amp;$N191,TRUE())),LEN(INDIRECT("'Ответы на форму (1)'!G"&amp;$N191,TRUE()))),INDIRECT("'Ответы на форму (1)'!G"&amp;$N191,TRUE()))</f>
        <v>#REF!</v>
      </c>
      <c r="H191" s="0" t="e">
        <f aca="true">INDIRECT("'Ответы на форму (1)'!H"&amp;$N191,TRUE())</f>
        <v>#REF!</v>
      </c>
      <c r="I191" s="12" t="e">
        <f aca="true">INDIRECT("'Ответы на форму (1)'!I"&amp;$N191,TRUE())</f>
        <v>#REF!</v>
      </c>
      <c r="J191" s="12" t="e">
        <f aca="true">INDIRECT("'Ответы на форму (1)'!J"&amp;$N191,TRUE())</f>
        <v>#REF!</v>
      </c>
      <c r="K191" s="12" t="e">
        <f aca="true">INDIRECT("'Ответы на форму (1)'!K"&amp;$N191,TRUE())</f>
        <v>#REF!</v>
      </c>
      <c r="L191" s="12" t="e">
        <f aca="true">INDIRECT("'Ответы на форму (1)'!L"&amp;$N191,TRUE())</f>
        <v>#REF!</v>
      </c>
      <c r="M191" s="0" t="e">
        <f aca="false" t="array" ref="M191:M191">IF(B191 &lt;&gt; "",IF(COUNTIF(concat(TRIM('Список прошлого года'!$B$2:$B$200),TRIM('Список прошлого года'!$C$2:$C$200)),concat(TRIM(B191),TRIM(C191))) &gt; 0,"Да","Нет"),"")</f>
        <v>#REF!</v>
      </c>
      <c r="N191" s="1" t="n">
        <v>214</v>
      </c>
      <c r="O191" s="1" t="n">
        <f aca="false">IF(NOT(ISBLANK(B191)), 0,"")</f>
        <v>0</v>
      </c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</row>
    <row r="192" customFormat="false" ht="15.75" hidden="false" customHeight="false" outlineLevel="0" collapsed="false">
      <c r="A192" s="0" t="e">
        <f aca="true">INDIRECT("'Ответы на форму (1)'!A"&amp;$N192,TRUE())</f>
        <v>#REF!</v>
      </c>
      <c r="B192" s="0" t="e">
        <f aca="true">INDIRECT("'Ответы на форму (1)'!B"&amp;$N192,TRUE())</f>
        <v>#REF!</v>
      </c>
      <c r="C192" s="0" t="e">
        <f aca="true">INDIRECT("'Ответы на форму (1)'!C"&amp;$N192,TRUE())</f>
        <v>#REF!</v>
      </c>
      <c r="D192" s="0" t="e">
        <f aca="true">INDIRECT("'Ответы на форму (1)'!D"&amp;$N192,TRUE())</f>
        <v>#REF!</v>
      </c>
      <c r="E192" s="0" t="str">
        <f aca="false">IFERROR(__xludf.dummyfunction("iferror(VALUE(REGEXEXTRACT(TEXT(INDIRECT(""'Ответы на форму (1)'!E""&amp;$N192,TRUE),""####""),""[0-9]+"")),IF(IFERROR(SEARCH(""моцро"",INDIRECT(""'Ответы на форму (1)'!E""&amp;$N192,TRUE)),-1) &gt;= 0,117,INDIRECT(""'Ответы на форму (1)'!E""&amp;$N192,TRUE)))"),"")</f>
        <v/>
      </c>
      <c r="F192" s="0" t="e">
        <f aca="true">INDIRECT("'Ответы на форму (1)'!F"&amp;$N192,TRUE())</f>
        <v>#REF!</v>
      </c>
      <c r="G192" s="0" t="e">
        <f aca="true">IFERROR(MID(INDIRECT("'Ответы на форму (1)'!G"&amp;$N192,TRUE()),SEARCH("vk.com",INDIRECT("'Ответы на форму (1)'!G"&amp;$N192,TRUE())),LEN(INDIRECT("'Ответы на форму (1)'!G"&amp;$N192,TRUE()))),INDIRECT("'Ответы на форму (1)'!G"&amp;$N192,TRUE()))</f>
        <v>#REF!</v>
      </c>
      <c r="H192" s="0" t="e">
        <f aca="true">INDIRECT("'Ответы на форму (1)'!H"&amp;$N192,TRUE())</f>
        <v>#REF!</v>
      </c>
      <c r="I192" s="12" t="e">
        <f aca="true">INDIRECT("'Ответы на форму (1)'!I"&amp;$N192,TRUE())</f>
        <v>#REF!</v>
      </c>
      <c r="J192" s="12" t="e">
        <f aca="true">INDIRECT("'Ответы на форму (1)'!J"&amp;$N192,TRUE())</f>
        <v>#REF!</v>
      </c>
      <c r="K192" s="12" t="e">
        <f aca="true">INDIRECT("'Ответы на форму (1)'!K"&amp;$N192,TRUE())</f>
        <v>#REF!</v>
      </c>
      <c r="L192" s="12" t="e">
        <f aca="true">INDIRECT("'Ответы на форму (1)'!L"&amp;$N192,TRUE())</f>
        <v>#REF!</v>
      </c>
      <c r="M192" s="0" t="e">
        <f aca="false" t="array" ref="M192:M192">IF(B192 &lt;&gt; "",IF(COUNTIF(concat(TRIM('Список прошлого года'!$B$2:$B$200),TRIM('Список прошлого года'!$C$2:$C$200)),concat(TRIM(B192),TRIM(C192))) &gt; 0,"Да","Нет"),"")</f>
        <v>#REF!</v>
      </c>
      <c r="N192" s="1" t="n">
        <v>215</v>
      </c>
      <c r="O192" s="1" t="n">
        <f aca="false">IF(NOT(ISBLANK(B192)), 0,"")</f>
        <v>0</v>
      </c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</row>
    <row r="193" customFormat="false" ht="15.75" hidden="false" customHeight="false" outlineLevel="0" collapsed="false"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</row>
    <row r="194" customFormat="false" ht="15.75" hidden="false" customHeight="false" outlineLevel="0" collapsed="false"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</row>
    <row r="195" customFormat="false" ht="15.75" hidden="false" customHeight="false" outlineLevel="0" collapsed="false"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</row>
    <row r="196" customFormat="false" ht="15.75" hidden="false" customHeight="false" outlineLevel="0" collapsed="false"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</row>
    <row r="197" customFormat="false" ht="15.75" hidden="false" customHeight="false" outlineLevel="0" collapsed="false"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</row>
    <row r="198" customFormat="false" ht="15.75" hidden="false" customHeight="false" outlineLevel="0" collapsed="false"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</row>
    <row r="199" customFormat="false" ht="15.75" hidden="false" customHeight="false" outlineLevel="0" collapsed="false"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</row>
    <row r="200" customFormat="false" ht="15.75" hidden="false" customHeight="false" outlineLevel="0" collapsed="false"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</row>
    <row r="201" customFormat="false" ht="15.75" hidden="false" customHeight="false" outlineLevel="0" collapsed="false"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</row>
    <row r="202" customFormat="false" ht="15.75" hidden="false" customHeight="false" outlineLevel="0" collapsed="false"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</row>
    <row r="203" customFormat="false" ht="15.75" hidden="false" customHeight="false" outlineLevel="0" collapsed="false"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</row>
    <row r="204" customFormat="false" ht="15.75" hidden="false" customHeight="false" outlineLevel="0" collapsed="false"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</row>
    <row r="205" customFormat="false" ht="15.75" hidden="false" customHeight="false" outlineLevel="0" collapsed="false"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</row>
    <row r="206" customFormat="false" ht="15.75" hidden="false" customHeight="false" outlineLevel="0" collapsed="false"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</row>
    <row r="207" customFormat="false" ht="15.75" hidden="false" customHeight="false" outlineLevel="0" collapsed="false"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</row>
    <row r="208" customFormat="false" ht="15.75" hidden="false" customHeight="false" outlineLevel="0" collapsed="false"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</row>
    <row r="209" customFormat="false" ht="15.75" hidden="false" customHeight="false" outlineLevel="0" collapsed="false"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</row>
    <row r="210" customFormat="false" ht="15.75" hidden="false" customHeight="false" outlineLevel="0" collapsed="false"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</row>
    <row r="211" customFormat="false" ht="15.75" hidden="false" customHeight="false" outlineLevel="0" collapsed="false"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</row>
    <row r="212" customFormat="false" ht="15.75" hidden="false" customHeight="false" outlineLevel="0" collapsed="false"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</row>
    <row r="213" customFormat="false" ht="15.75" hidden="false" customHeight="false" outlineLevel="0" collapsed="false"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</row>
    <row r="214" customFormat="false" ht="15.75" hidden="false" customHeight="false" outlineLevel="0" collapsed="false"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</row>
    <row r="215" customFormat="false" ht="15.75" hidden="false" customHeight="false" outlineLevel="0" collapsed="false"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customFormat="false" ht="15.75" hidden="false" customHeight="false" outlineLevel="0" collapsed="false"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customFormat="false" ht="15.75" hidden="false" customHeight="false" outlineLevel="0" collapsed="false"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customFormat="false" ht="15.75" hidden="false" customHeight="false" outlineLevel="0" collapsed="false"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customFormat="false" ht="15.75" hidden="false" customHeight="false" outlineLevel="0" collapsed="false"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customFormat="false" ht="15.75" hidden="false" customHeight="false" outlineLevel="0" collapsed="false"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customFormat="false" ht="15.75" hidden="false" customHeight="false" outlineLevel="0" collapsed="false"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customFormat="false" ht="15.75" hidden="false" customHeight="false" outlineLevel="0" collapsed="false"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customFormat="false" ht="15.75" hidden="false" customHeight="false" outlineLevel="0" collapsed="false"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customFormat="false" ht="15.75" hidden="false" customHeight="false" outlineLevel="0" collapsed="false"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customFormat="false" ht="15.75" hidden="false" customHeight="false" outlineLevel="0" collapsed="false"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customFormat="false" ht="15.75" hidden="false" customHeight="false" outlineLevel="0" collapsed="false"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customFormat="false" ht="15.75" hidden="false" customHeight="false" outlineLevel="0" collapsed="false"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customFormat="false" ht="15.75" hidden="false" customHeight="false" outlineLevel="0" collapsed="false"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customFormat="false" ht="15.75" hidden="false" customHeight="false" outlineLevel="0" collapsed="false"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customFormat="false" ht="15.75" hidden="false" customHeight="false" outlineLevel="0" collapsed="false"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customFormat="false" ht="15.75" hidden="false" customHeight="false" outlineLevel="0" collapsed="false"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customFormat="false" ht="15.75" hidden="false" customHeight="false" outlineLevel="0" collapsed="false"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customFormat="false" ht="15.75" hidden="false" customHeight="false" outlineLevel="0" collapsed="false"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customFormat="false" ht="15.75" hidden="false" customHeight="false" outlineLevel="0" collapsed="false"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customFormat="false" ht="15.75" hidden="false" customHeight="false" outlineLevel="0" collapsed="false"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customFormat="false" ht="15.75" hidden="false" customHeight="false" outlineLevel="0" collapsed="false"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 customFormat="false" ht="15.75" hidden="false" customHeight="false" outlineLevel="0" collapsed="false"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 customFormat="false" ht="15.75" hidden="false" customHeight="false" outlineLevel="0" collapsed="false"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 customFormat="false" ht="15.75" hidden="false" customHeight="false" outlineLevel="0" collapsed="false"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 customFormat="false" ht="15.75" hidden="false" customHeight="false" outlineLevel="0" collapsed="false"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 customFormat="false" ht="15.75" hidden="false" customHeight="false" outlineLevel="0" collapsed="false"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 customFormat="false" ht="15.75" hidden="false" customHeight="false" outlineLevel="0" collapsed="false"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customFormat="false" ht="15.75" hidden="false" customHeight="false" outlineLevel="0" collapsed="false"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 customFormat="false" ht="15.75" hidden="false" customHeight="false" outlineLevel="0" collapsed="false"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 customFormat="false" ht="15.75" hidden="false" customHeight="false" outlineLevel="0" collapsed="false"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 customFormat="false" ht="15.75" hidden="false" customHeight="false" outlineLevel="0" collapsed="false"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 customFormat="false" ht="15.75" hidden="false" customHeight="false" outlineLevel="0" collapsed="false"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 customFormat="false" ht="15.75" hidden="false" customHeight="false" outlineLevel="0" collapsed="false"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 customFormat="false" ht="15.75" hidden="false" customHeight="false" outlineLevel="0" collapsed="false"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 customFormat="false" ht="15.75" hidden="false" customHeight="false" outlineLevel="0" collapsed="false"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customFormat="false" ht="15.75" hidden="false" customHeight="false" outlineLevel="0" collapsed="false"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 customFormat="false" ht="15.75" hidden="false" customHeight="false" outlineLevel="0" collapsed="false"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 customFormat="false" ht="15.75" hidden="false" customHeight="false" outlineLevel="0" collapsed="false"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 customFormat="false" ht="15.75" hidden="false" customHeight="false" outlineLevel="0" collapsed="false"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 customFormat="false" ht="15.75" hidden="false" customHeight="false" outlineLevel="0" collapsed="false"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 customFormat="false" ht="15.75" hidden="false" customHeight="false" outlineLevel="0" collapsed="false"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 customFormat="false" ht="15.75" hidden="false" customHeight="false" outlineLevel="0" collapsed="false"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 customFormat="false" ht="15.75" hidden="false" customHeight="false" outlineLevel="0" collapsed="false"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 customFormat="false" ht="15.75" hidden="false" customHeight="false" outlineLevel="0" collapsed="false"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 customFormat="false" ht="15.75" hidden="false" customHeight="false" outlineLevel="0" collapsed="false"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 customFormat="false" ht="15.75" hidden="false" customHeight="false" outlineLevel="0" collapsed="false"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 customFormat="false" ht="15.75" hidden="false" customHeight="false" outlineLevel="0" collapsed="false"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customFormat="false" ht="15.75" hidden="false" customHeight="false" outlineLevel="0" collapsed="false"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customFormat="false" ht="15.75" hidden="false" customHeight="false" outlineLevel="0" collapsed="false"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 customFormat="false" ht="15.75" hidden="false" customHeight="false" outlineLevel="0" collapsed="false"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 customFormat="false" ht="15.75" hidden="false" customHeight="false" outlineLevel="0" collapsed="false"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 customFormat="false" ht="15.75" hidden="false" customHeight="false" outlineLevel="0" collapsed="false"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 customFormat="false" ht="15.75" hidden="false" customHeight="false" outlineLevel="0" collapsed="false"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 customFormat="false" ht="15.75" hidden="false" customHeight="false" outlineLevel="0" collapsed="false"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 customFormat="false" ht="15.75" hidden="false" customHeight="false" outlineLevel="0" collapsed="false"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 customFormat="false" ht="15.75" hidden="false" customHeight="false" outlineLevel="0" collapsed="false"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 customFormat="false" ht="15.75" hidden="false" customHeight="false" outlineLevel="0" collapsed="false"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 customFormat="false" ht="15.75" hidden="false" customHeight="false" outlineLevel="0" collapsed="false"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 customFormat="false" ht="15.75" hidden="false" customHeight="false" outlineLevel="0" collapsed="false"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 customFormat="false" ht="15.75" hidden="false" customHeight="false" outlineLevel="0" collapsed="false"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 customFormat="false" ht="15.75" hidden="false" customHeight="false" outlineLevel="0" collapsed="false"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customFormat="false" ht="15.75" hidden="false" customHeight="false" outlineLevel="0" collapsed="false"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 customFormat="false" ht="15.75" hidden="false" customHeight="false" outlineLevel="0" collapsed="false"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 customFormat="false" ht="15.75" hidden="false" customHeight="false" outlineLevel="0" collapsed="false"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 customFormat="false" ht="15.75" hidden="false" customHeight="false" outlineLevel="0" collapsed="false"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 customFormat="false" ht="15.75" hidden="false" customHeight="false" outlineLevel="0" collapsed="false"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 customFormat="false" ht="15.75" hidden="false" customHeight="false" outlineLevel="0" collapsed="false"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customFormat="false" ht="15.75" hidden="false" customHeight="false" outlineLevel="0" collapsed="false"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 customFormat="false" ht="15.75" hidden="false" customHeight="false" outlineLevel="0" collapsed="false"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 customFormat="false" ht="15.75" hidden="false" customHeight="false" outlineLevel="0" collapsed="false"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 customFormat="false" ht="15.75" hidden="false" customHeight="false" outlineLevel="0" collapsed="false"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 customFormat="false" ht="15.75" hidden="false" customHeight="false" outlineLevel="0" collapsed="false"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 customFormat="false" ht="15.75" hidden="false" customHeight="false" outlineLevel="0" collapsed="false"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customFormat="false" ht="15.75" hidden="false" customHeight="false" outlineLevel="0" collapsed="false"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 customFormat="false" ht="15.75" hidden="false" customHeight="false" outlineLevel="0" collapsed="false"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 customFormat="false" ht="15.75" hidden="false" customHeight="false" outlineLevel="0" collapsed="false"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 customFormat="false" ht="15.75" hidden="false" customHeight="false" outlineLevel="0" collapsed="false"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 customFormat="false" ht="15.75" hidden="false" customHeight="false" outlineLevel="0" collapsed="false"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customFormat="false" ht="15.75" hidden="false" customHeight="false" outlineLevel="0" collapsed="false"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 customFormat="false" ht="15.75" hidden="false" customHeight="false" outlineLevel="0" collapsed="false"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customFormat="false" ht="15.75" hidden="false" customHeight="false" outlineLevel="0" collapsed="false"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 customFormat="false" ht="15.75" hidden="false" customHeight="false" outlineLevel="0" collapsed="false"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 customFormat="false" ht="15.75" hidden="false" customHeight="false" outlineLevel="0" collapsed="false"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 customFormat="false" ht="15.75" hidden="false" customHeight="false" outlineLevel="0" collapsed="false"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 customFormat="false" ht="15.75" hidden="false" customHeight="false" outlineLevel="0" collapsed="false"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 customFormat="false" ht="15.75" hidden="false" customHeight="false" outlineLevel="0" collapsed="false"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 customFormat="false" ht="15.75" hidden="false" customHeight="false" outlineLevel="0" collapsed="false"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customFormat="false" ht="15.75" hidden="false" customHeight="false" outlineLevel="0" collapsed="false"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 customFormat="false" ht="15.75" hidden="false" customHeight="false" outlineLevel="0" collapsed="false"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 customFormat="false" ht="15.75" hidden="false" customHeight="false" outlineLevel="0" collapsed="false"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 customFormat="false" ht="15.75" hidden="false" customHeight="false" outlineLevel="0" collapsed="false"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 customFormat="false" ht="15.75" hidden="false" customHeight="false" outlineLevel="0" collapsed="false"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 customFormat="false" ht="15.75" hidden="false" customHeight="false" outlineLevel="0" collapsed="false"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 customFormat="false" ht="15.75" hidden="false" customHeight="false" outlineLevel="0" collapsed="false"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customFormat="false" ht="15.75" hidden="false" customHeight="false" outlineLevel="0" collapsed="false"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 customFormat="false" ht="15.75" hidden="false" customHeight="false" outlineLevel="0" collapsed="false"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 customFormat="false" ht="15.75" hidden="false" customHeight="false" outlineLevel="0" collapsed="false"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 customFormat="false" ht="15.75" hidden="false" customHeight="false" outlineLevel="0" collapsed="false"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customFormat="false" ht="15.75" hidden="false" customHeight="false" outlineLevel="0" collapsed="false"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 customFormat="false" ht="15.75" hidden="false" customHeight="false" outlineLevel="0" collapsed="false"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 customFormat="false" ht="15.75" hidden="false" customHeight="false" outlineLevel="0" collapsed="false"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 customFormat="false" ht="15.75" hidden="false" customHeight="false" outlineLevel="0" collapsed="false"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 customFormat="false" ht="15.75" hidden="false" customHeight="false" outlineLevel="0" collapsed="false"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customFormat="false" ht="15.75" hidden="false" customHeight="false" outlineLevel="0" collapsed="false"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 customFormat="false" ht="15.75" hidden="false" customHeight="false" outlineLevel="0" collapsed="false"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 customFormat="false" ht="15.75" hidden="false" customHeight="false" outlineLevel="0" collapsed="false"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customFormat="false" ht="15.75" hidden="false" customHeight="false" outlineLevel="0" collapsed="false"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 customFormat="false" ht="15.75" hidden="false" customHeight="false" outlineLevel="0" collapsed="false"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customFormat="false" ht="15.75" hidden="false" customHeight="false" outlineLevel="0" collapsed="false"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 customFormat="false" ht="15.75" hidden="false" customHeight="false" outlineLevel="0" collapsed="false"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 customFormat="false" ht="15.75" hidden="false" customHeight="false" outlineLevel="0" collapsed="false"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 customFormat="false" ht="15.75" hidden="false" customHeight="false" outlineLevel="0" collapsed="false"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 customFormat="false" ht="15.75" hidden="false" customHeight="false" outlineLevel="0" collapsed="false"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 customFormat="false" ht="15.75" hidden="false" customHeight="false" outlineLevel="0" collapsed="false"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 customFormat="false" ht="15.75" hidden="false" customHeight="false" outlineLevel="0" collapsed="false"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customFormat="false" ht="15.75" hidden="false" customHeight="false" outlineLevel="0" collapsed="false"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 customFormat="false" ht="15.75" hidden="false" customHeight="false" outlineLevel="0" collapsed="false"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 customFormat="false" ht="15.75" hidden="false" customHeight="false" outlineLevel="0" collapsed="false"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 customFormat="false" ht="15.75" hidden="false" customHeight="false" outlineLevel="0" collapsed="false"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 customFormat="false" ht="15.75" hidden="false" customHeight="false" outlineLevel="0" collapsed="false"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 customFormat="false" ht="15.75" hidden="false" customHeight="false" outlineLevel="0" collapsed="false"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 customFormat="false" ht="15.75" hidden="false" customHeight="false" outlineLevel="0" collapsed="false"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customFormat="false" ht="15.75" hidden="false" customHeight="false" outlineLevel="0" collapsed="false"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 customFormat="false" ht="15.75" hidden="false" customHeight="false" outlineLevel="0" collapsed="false"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 customFormat="false" ht="15.75" hidden="false" customHeight="false" outlineLevel="0" collapsed="false"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 customFormat="false" ht="15.75" hidden="false" customHeight="false" outlineLevel="0" collapsed="false"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 customFormat="false" ht="15.75" hidden="false" customHeight="false" outlineLevel="0" collapsed="false"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customFormat="false" ht="15.75" hidden="false" customHeight="false" outlineLevel="0" collapsed="false"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 customFormat="false" ht="15.75" hidden="false" customHeight="false" outlineLevel="0" collapsed="false"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 customFormat="false" ht="15.75" hidden="false" customHeight="false" outlineLevel="0" collapsed="false"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 customFormat="false" ht="15.75" hidden="false" customHeight="false" outlineLevel="0" collapsed="false"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 customFormat="false" ht="15.75" hidden="false" customHeight="false" outlineLevel="0" collapsed="false"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customFormat="false" ht="15.75" hidden="false" customHeight="false" outlineLevel="0" collapsed="false"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 customFormat="false" ht="15.75" hidden="false" customHeight="false" outlineLevel="0" collapsed="false"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 customFormat="false" ht="15.75" hidden="false" customHeight="false" outlineLevel="0" collapsed="false"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 customFormat="false" ht="15.75" hidden="false" customHeight="false" outlineLevel="0" collapsed="false"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customFormat="false" ht="15.75" hidden="false" customHeight="false" outlineLevel="0" collapsed="false"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 customFormat="false" ht="15.75" hidden="false" customHeight="false" outlineLevel="0" collapsed="false"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 customFormat="false" ht="15.75" hidden="false" customHeight="false" outlineLevel="0" collapsed="false"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 customFormat="false" ht="15.75" hidden="false" customHeight="false" outlineLevel="0" collapsed="false"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customFormat="false" ht="15.75" hidden="false" customHeight="false" outlineLevel="0" collapsed="false"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 customFormat="false" ht="15.75" hidden="false" customHeight="false" outlineLevel="0" collapsed="false"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 customFormat="false" ht="15.75" hidden="false" customHeight="false" outlineLevel="0" collapsed="false"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 customFormat="false" ht="15.75" hidden="false" customHeight="false" outlineLevel="0" collapsed="false"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customFormat="false" ht="15.75" hidden="false" customHeight="false" outlineLevel="0" collapsed="false"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 customFormat="false" ht="15.75" hidden="false" customHeight="false" outlineLevel="0" collapsed="false"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 customFormat="false" ht="15.75" hidden="false" customHeight="false" outlineLevel="0" collapsed="false"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customFormat="false" ht="15.75" hidden="false" customHeight="false" outlineLevel="0" collapsed="false"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 customFormat="false" ht="15.75" hidden="false" customHeight="false" outlineLevel="0" collapsed="false"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 customFormat="false" ht="15.75" hidden="false" customHeight="false" outlineLevel="0" collapsed="false"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 customFormat="false" ht="15.75" hidden="false" customHeight="false" outlineLevel="0" collapsed="false"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 customFormat="false" ht="15.75" hidden="false" customHeight="false" outlineLevel="0" collapsed="false"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 customFormat="false" ht="15.75" hidden="false" customHeight="false" outlineLevel="0" collapsed="false"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 customFormat="false" ht="15.75" hidden="false" customHeight="false" outlineLevel="0" collapsed="false"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 customFormat="false" ht="15.75" hidden="false" customHeight="false" outlineLevel="0" collapsed="false"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customFormat="false" ht="15.75" hidden="false" customHeight="false" outlineLevel="0" collapsed="false"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 customFormat="false" ht="15.75" hidden="false" customHeight="false" outlineLevel="0" collapsed="false"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 customFormat="false" ht="15.75" hidden="false" customHeight="false" outlineLevel="0" collapsed="false"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 customFormat="false" ht="15.75" hidden="false" customHeight="false" outlineLevel="0" collapsed="false"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customFormat="false" ht="15.75" hidden="false" customHeight="false" outlineLevel="0" collapsed="false"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 customFormat="false" ht="15.75" hidden="false" customHeight="false" outlineLevel="0" collapsed="false"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 customFormat="false" ht="15.75" hidden="false" customHeight="false" outlineLevel="0" collapsed="false"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 customFormat="false" ht="15.75" hidden="false" customHeight="false" outlineLevel="0" collapsed="false"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 customFormat="false" ht="15.75" hidden="false" customHeight="false" outlineLevel="0" collapsed="false"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 customFormat="false" ht="15.75" hidden="false" customHeight="false" outlineLevel="0" collapsed="false"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customFormat="false" ht="15.75" hidden="false" customHeight="false" outlineLevel="0" collapsed="false"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 customFormat="false" ht="15.75" hidden="false" customHeight="false" outlineLevel="0" collapsed="false"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 customFormat="false" ht="15.75" hidden="false" customHeight="false" outlineLevel="0" collapsed="false"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 customFormat="false" ht="15.75" hidden="false" customHeight="false" outlineLevel="0" collapsed="false"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customFormat="false" ht="15.75" hidden="false" customHeight="false" outlineLevel="0" collapsed="false"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 customFormat="false" ht="15.75" hidden="false" customHeight="false" outlineLevel="0" collapsed="false"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 customFormat="false" ht="15.75" hidden="false" customHeight="false" outlineLevel="0" collapsed="false"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 customFormat="false" ht="15.75" hidden="false" customHeight="false" outlineLevel="0" collapsed="false"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customFormat="false" ht="15.75" hidden="false" customHeight="false" outlineLevel="0" collapsed="false"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 customFormat="false" ht="15.75" hidden="false" customHeight="false" outlineLevel="0" collapsed="false"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 customFormat="false" ht="15.75" hidden="false" customHeight="false" outlineLevel="0" collapsed="false"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customFormat="false" ht="15.75" hidden="false" customHeight="false" outlineLevel="0" collapsed="false"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 customFormat="false" ht="15.75" hidden="false" customHeight="false" outlineLevel="0" collapsed="false"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 customFormat="false" ht="15.75" hidden="false" customHeight="false" outlineLevel="0" collapsed="false"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 customFormat="false" ht="15.75" hidden="false" customHeight="false" outlineLevel="0" collapsed="false"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 customFormat="false" ht="15.75" hidden="false" customHeight="false" outlineLevel="0" collapsed="false"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 customFormat="false" ht="15.75" hidden="false" customHeight="false" outlineLevel="0" collapsed="false"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 customFormat="false" ht="15.75" hidden="false" customHeight="false" outlineLevel="0" collapsed="false"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 customFormat="false" ht="15.75" hidden="false" customHeight="false" outlineLevel="0" collapsed="false"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 customFormat="false" ht="15.75" hidden="false" customHeight="false" outlineLevel="0" collapsed="false"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 customFormat="false" ht="15.75" hidden="false" customHeight="false" outlineLevel="0" collapsed="false"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 customFormat="false" ht="15.75" hidden="false" customHeight="false" outlineLevel="0" collapsed="false"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 customFormat="false" ht="15.75" hidden="false" customHeight="false" outlineLevel="0" collapsed="false"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 customFormat="false" ht="15.75" hidden="false" customHeight="false" outlineLevel="0" collapsed="false"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 customFormat="false" ht="15.75" hidden="false" customHeight="false" outlineLevel="0" collapsed="false"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 customFormat="false" ht="15.75" hidden="false" customHeight="false" outlineLevel="0" collapsed="false"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 customFormat="false" ht="15.75" hidden="false" customHeight="false" outlineLevel="0" collapsed="false"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 customFormat="false" ht="15.75" hidden="false" customHeight="false" outlineLevel="0" collapsed="false"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 customFormat="false" ht="15.75" hidden="false" customHeight="false" outlineLevel="0" collapsed="false"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 customFormat="false" ht="15.75" hidden="false" customHeight="false" outlineLevel="0" collapsed="false"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 customFormat="false" ht="15.75" hidden="false" customHeight="false" outlineLevel="0" collapsed="false"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 customFormat="false" ht="15.75" hidden="false" customHeight="false" outlineLevel="0" collapsed="false"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 customFormat="false" ht="15.75" hidden="false" customHeight="false" outlineLevel="0" collapsed="false"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 customFormat="false" ht="15.75" hidden="false" customHeight="false" outlineLevel="0" collapsed="false"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 customFormat="false" ht="15.75" hidden="false" customHeight="false" outlineLevel="0" collapsed="false"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 customFormat="false" ht="15.75" hidden="false" customHeight="false" outlineLevel="0" collapsed="false"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 customFormat="false" ht="15.75" hidden="false" customHeight="false" outlineLevel="0" collapsed="false"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 customFormat="false" ht="15.75" hidden="false" customHeight="false" outlineLevel="0" collapsed="false"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customFormat="false" ht="15.75" hidden="false" customHeight="false" outlineLevel="0" collapsed="false"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 customFormat="false" ht="15.75" hidden="false" customHeight="false" outlineLevel="0" collapsed="false"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 customFormat="false" ht="15.75" hidden="false" customHeight="false" outlineLevel="0" collapsed="false"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 customFormat="false" ht="15.75" hidden="false" customHeight="false" outlineLevel="0" collapsed="false"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 customFormat="false" ht="15.75" hidden="false" customHeight="false" outlineLevel="0" collapsed="false"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 customFormat="false" ht="15.75" hidden="false" customHeight="false" outlineLevel="0" collapsed="false"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 customFormat="false" ht="15.75" hidden="false" customHeight="false" outlineLevel="0" collapsed="false"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 customFormat="false" ht="15.75" hidden="false" customHeight="false" outlineLevel="0" collapsed="false"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 customFormat="false" ht="15.75" hidden="false" customHeight="false" outlineLevel="0" collapsed="false"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 customFormat="false" ht="15.75" hidden="false" customHeight="false" outlineLevel="0" collapsed="false"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 customFormat="false" ht="15.75" hidden="false" customHeight="false" outlineLevel="0" collapsed="false"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 customFormat="false" ht="15.75" hidden="false" customHeight="false" outlineLevel="0" collapsed="false"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 customFormat="false" ht="15.75" hidden="false" customHeight="false" outlineLevel="0" collapsed="false"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 customFormat="false" ht="15.75" hidden="false" customHeight="false" outlineLevel="0" collapsed="false"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 customFormat="false" ht="15.75" hidden="false" customHeight="false" outlineLevel="0" collapsed="false"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 customFormat="false" ht="15.75" hidden="false" customHeight="false" outlineLevel="0" collapsed="false"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 customFormat="false" ht="15.75" hidden="false" customHeight="false" outlineLevel="0" collapsed="false"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 customFormat="false" ht="15.75" hidden="false" customHeight="false" outlineLevel="0" collapsed="false"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 customFormat="false" ht="15.75" hidden="false" customHeight="false" outlineLevel="0" collapsed="false"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 customFormat="false" ht="15.75" hidden="false" customHeight="false" outlineLevel="0" collapsed="false"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 customFormat="false" ht="15.75" hidden="false" customHeight="false" outlineLevel="0" collapsed="false"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 customFormat="false" ht="15.75" hidden="false" customHeight="false" outlineLevel="0" collapsed="false"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 customFormat="false" ht="15.75" hidden="false" customHeight="false" outlineLevel="0" collapsed="false"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 customFormat="false" ht="15.75" hidden="false" customHeight="false" outlineLevel="0" collapsed="false"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 customFormat="false" ht="15.75" hidden="false" customHeight="false" outlineLevel="0" collapsed="false"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 customFormat="false" ht="15.75" hidden="false" customHeight="false" outlineLevel="0" collapsed="false"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 customFormat="false" ht="15.75" hidden="false" customHeight="false" outlineLevel="0" collapsed="false"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 customFormat="false" ht="15.75" hidden="false" customHeight="false" outlineLevel="0" collapsed="false"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 customFormat="false" ht="15.75" hidden="false" customHeight="false" outlineLevel="0" collapsed="false"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 customFormat="false" ht="15.75" hidden="false" customHeight="false" outlineLevel="0" collapsed="false"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 customFormat="false" ht="15.75" hidden="false" customHeight="false" outlineLevel="0" collapsed="false"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 customFormat="false" ht="15.75" hidden="false" customHeight="false" outlineLevel="0" collapsed="false"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 customFormat="false" ht="15.75" hidden="false" customHeight="false" outlineLevel="0" collapsed="false"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 customFormat="false" ht="15.75" hidden="false" customHeight="false" outlineLevel="0" collapsed="false"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 customFormat="false" ht="15.75" hidden="false" customHeight="false" outlineLevel="0" collapsed="false"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customFormat="false" ht="15.75" hidden="false" customHeight="false" outlineLevel="0" collapsed="false"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 customFormat="false" ht="15.75" hidden="false" customHeight="false" outlineLevel="0" collapsed="false"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 customFormat="false" ht="15.75" hidden="false" customHeight="false" outlineLevel="0" collapsed="false"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 customFormat="false" ht="15.75" hidden="false" customHeight="false" outlineLevel="0" collapsed="false"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 customFormat="false" ht="15.75" hidden="false" customHeight="false" outlineLevel="0" collapsed="false"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 customFormat="false" ht="15.75" hidden="false" customHeight="false" outlineLevel="0" collapsed="false"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 customFormat="false" ht="15.75" hidden="false" customHeight="false" outlineLevel="0" collapsed="false"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 customFormat="false" ht="15.75" hidden="false" customHeight="false" outlineLevel="0" collapsed="false"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 customFormat="false" ht="15.75" hidden="false" customHeight="false" outlineLevel="0" collapsed="false"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 customFormat="false" ht="15.75" hidden="false" customHeight="false" outlineLevel="0" collapsed="false"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 customFormat="false" ht="15.75" hidden="false" customHeight="false" outlineLevel="0" collapsed="false"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 customFormat="false" ht="15.75" hidden="false" customHeight="false" outlineLevel="0" collapsed="false"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 customFormat="false" ht="15.75" hidden="false" customHeight="false" outlineLevel="0" collapsed="false"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 customFormat="false" ht="15.75" hidden="false" customHeight="false" outlineLevel="0" collapsed="false"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 customFormat="false" ht="15.75" hidden="false" customHeight="false" outlineLevel="0" collapsed="false"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 customFormat="false" ht="15.75" hidden="false" customHeight="false" outlineLevel="0" collapsed="false"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 customFormat="false" ht="15.75" hidden="false" customHeight="false" outlineLevel="0" collapsed="false"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 customFormat="false" ht="15.75" hidden="false" customHeight="false" outlineLevel="0" collapsed="false"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 customFormat="false" ht="15.75" hidden="false" customHeight="false" outlineLevel="0" collapsed="false"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 customFormat="false" ht="15.75" hidden="false" customHeight="false" outlineLevel="0" collapsed="false"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 customFormat="false" ht="15.75" hidden="false" customHeight="false" outlineLevel="0" collapsed="false"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 customFormat="false" ht="15.75" hidden="false" customHeight="false" outlineLevel="0" collapsed="false"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 customFormat="false" ht="15.75" hidden="false" customHeight="false" outlineLevel="0" collapsed="false"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 customFormat="false" ht="15.75" hidden="false" customHeight="false" outlineLevel="0" collapsed="false"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 customFormat="false" ht="15.75" hidden="false" customHeight="false" outlineLevel="0" collapsed="false"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 customFormat="false" ht="15.75" hidden="false" customHeight="false" outlineLevel="0" collapsed="false"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 customFormat="false" ht="15.75" hidden="false" customHeight="false" outlineLevel="0" collapsed="false"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 customFormat="false" ht="15.75" hidden="false" customHeight="false" outlineLevel="0" collapsed="false"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 customFormat="false" ht="15.75" hidden="false" customHeight="false" outlineLevel="0" collapsed="false"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 customFormat="false" ht="15.75" hidden="false" customHeight="false" outlineLevel="0" collapsed="false"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 customFormat="false" ht="15.75" hidden="false" customHeight="false" outlineLevel="0" collapsed="false"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 customFormat="false" ht="15.75" hidden="false" customHeight="false" outlineLevel="0" collapsed="false"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 customFormat="false" ht="15.75" hidden="false" customHeight="false" outlineLevel="0" collapsed="false"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 customFormat="false" ht="15.75" hidden="false" customHeight="false" outlineLevel="0" collapsed="false"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 customFormat="false" ht="15.75" hidden="false" customHeight="false" outlineLevel="0" collapsed="false"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 customFormat="false" ht="15.75" hidden="false" customHeight="false" outlineLevel="0" collapsed="false"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customFormat="false" ht="15.75" hidden="false" customHeight="false" outlineLevel="0" collapsed="false"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 customFormat="false" ht="15.75" hidden="false" customHeight="false" outlineLevel="0" collapsed="false"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 customFormat="false" ht="15.75" hidden="false" customHeight="false" outlineLevel="0" collapsed="false"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 customFormat="false" ht="15.75" hidden="false" customHeight="false" outlineLevel="0" collapsed="false"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 customFormat="false" ht="15.75" hidden="false" customHeight="false" outlineLevel="0" collapsed="false"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 customFormat="false" ht="15.75" hidden="false" customHeight="false" outlineLevel="0" collapsed="false"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 customFormat="false" ht="15.75" hidden="false" customHeight="false" outlineLevel="0" collapsed="false"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 customFormat="false" ht="15.75" hidden="false" customHeight="false" outlineLevel="0" collapsed="false"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 customFormat="false" ht="15.75" hidden="false" customHeight="false" outlineLevel="0" collapsed="false"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 customFormat="false" ht="15.75" hidden="false" customHeight="false" outlineLevel="0" collapsed="false"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 customFormat="false" ht="15.75" hidden="false" customHeight="false" outlineLevel="0" collapsed="false"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 customFormat="false" ht="15.75" hidden="false" customHeight="false" outlineLevel="0" collapsed="false"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 customFormat="false" ht="15.75" hidden="false" customHeight="false" outlineLevel="0" collapsed="false"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 customFormat="false" ht="15.75" hidden="false" customHeight="false" outlineLevel="0" collapsed="false"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 customFormat="false" ht="15.75" hidden="false" customHeight="false" outlineLevel="0" collapsed="false"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 customFormat="false" ht="15.75" hidden="false" customHeight="false" outlineLevel="0" collapsed="false"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 customFormat="false" ht="15.75" hidden="false" customHeight="false" outlineLevel="0" collapsed="false"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 customFormat="false" ht="15.75" hidden="false" customHeight="false" outlineLevel="0" collapsed="false"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 customFormat="false" ht="15.75" hidden="false" customHeight="false" outlineLevel="0" collapsed="false"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 customFormat="false" ht="15.75" hidden="false" customHeight="false" outlineLevel="0" collapsed="false"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 customFormat="false" ht="15.75" hidden="false" customHeight="false" outlineLevel="0" collapsed="false"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 customFormat="false" ht="15.75" hidden="false" customHeight="false" outlineLevel="0" collapsed="false"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customFormat="false" ht="15.75" hidden="false" customHeight="false" outlineLevel="0" collapsed="false"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 customFormat="false" ht="15.75" hidden="false" customHeight="false" outlineLevel="0" collapsed="false"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customFormat="false" ht="15.75" hidden="false" customHeight="false" outlineLevel="0" collapsed="false"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 customFormat="false" ht="15.75" hidden="false" customHeight="false" outlineLevel="0" collapsed="false"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 customFormat="false" ht="15.75" hidden="false" customHeight="false" outlineLevel="0" collapsed="false"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 customFormat="false" ht="15.75" hidden="false" customHeight="false" outlineLevel="0" collapsed="false"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 customFormat="false" ht="15.75" hidden="false" customHeight="false" outlineLevel="0" collapsed="false"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 customFormat="false" ht="15.75" hidden="false" customHeight="false" outlineLevel="0" collapsed="false"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 customFormat="false" ht="15.75" hidden="false" customHeight="false" outlineLevel="0" collapsed="false"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 customFormat="false" ht="15.75" hidden="false" customHeight="false" outlineLevel="0" collapsed="false"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 customFormat="false" ht="15.75" hidden="false" customHeight="false" outlineLevel="0" collapsed="false"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 customFormat="false" ht="15.75" hidden="false" customHeight="false" outlineLevel="0" collapsed="false"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 customFormat="false" ht="15.75" hidden="false" customHeight="false" outlineLevel="0" collapsed="false"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 customFormat="false" ht="15.75" hidden="false" customHeight="false" outlineLevel="0" collapsed="false"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 customFormat="false" ht="15.75" hidden="false" customHeight="false" outlineLevel="0" collapsed="false"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 customFormat="false" ht="15.75" hidden="false" customHeight="false" outlineLevel="0" collapsed="false"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 customFormat="false" ht="15.75" hidden="false" customHeight="false" outlineLevel="0" collapsed="false"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 customFormat="false" ht="15.75" hidden="false" customHeight="false" outlineLevel="0" collapsed="false"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 customFormat="false" ht="15.75" hidden="false" customHeight="false" outlineLevel="0" collapsed="false"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 customFormat="false" ht="15.75" hidden="false" customHeight="false" outlineLevel="0" collapsed="false"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 customFormat="false" ht="15.75" hidden="false" customHeight="false" outlineLevel="0" collapsed="false"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 customFormat="false" ht="15.75" hidden="false" customHeight="false" outlineLevel="0" collapsed="false"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customFormat="false" ht="15.75" hidden="false" customHeight="false" outlineLevel="0" collapsed="false"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 customFormat="false" ht="15.75" hidden="false" customHeight="false" outlineLevel="0" collapsed="false"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 customFormat="false" ht="15.75" hidden="false" customHeight="false" outlineLevel="0" collapsed="false"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 customFormat="false" ht="15.75" hidden="false" customHeight="false" outlineLevel="0" collapsed="false"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 customFormat="false" ht="15.75" hidden="false" customHeight="false" outlineLevel="0" collapsed="false"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 customFormat="false" ht="15.75" hidden="false" customHeight="false" outlineLevel="0" collapsed="false"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 customFormat="false" ht="15.75" hidden="false" customHeight="false" outlineLevel="0" collapsed="false"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 customFormat="false" ht="15.75" hidden="false" customHeight="false" outlineLevel="0" collapsed="false"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 customFormat="false" ht="15.75" hidden="false" customHeight="false" outlineLevel="0" collapsed="false"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 customFormat="false" ht="15.75" hidden="false" customHeight="false" outlineLevel="0" collapsed="false"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 customFormat="false" ht="15.75" hidden="false" customHeight="false" outlineLevel="0" collapsed="false"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 customFormat="false" ht="15.75" hidden="false" customHeight="false" outlineLevel="0" collapsed="false"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 customFormat="false" ht="15.75" hidden="false" customHeight="false" outlineLevel="0" collapsed="false"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 customFormat="false" ht="15.75" hidden="false" customHeight="false" outlineLevel="0" collapsed="false"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 customFormat="false" ht="15.75" hidden="false" customHeight="false" outlineLevel="0" collapsed="false"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 customFormat="false" ht="15.75" hidden="false" customHeight="false" outlineLevel="0" collapsed="false"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 customFormat="false" ht="15.75" hidden="false" customHeight="false" outlineLevel="0" collapsed="false"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 customFormat="false" ht="15.75" hidden="false" customHeight="false" outlineLevel="0" collapsed="false"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 customFormat="false" ht="15.75" hidden="false" customHeight="false" outlineLevel="0" collapsed="false"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 customFormat="false" ht="15.75" hidden="false" customHeight="false" outlineLevel="0" collapsed="false"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 customFormat="false" ht="15.75" hidden="false" customHeight="false" outlineLevel="0" collapsed="false"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customFormat="false" ht="15.75" hidden="false" customHeight="false" outlineLevel="0" collapsed="false"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 customFormat="false" ht="15.75" hidden="false" customHeight="false" outlineLevel="0" collapsed="false"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 customFormat="false" ht="15.75" hidden="false" customHeight="false" outlineLevel="0" collapsed="false"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 customFormat="false" ht="15.75" hidden="false" customHeight="false" outlineLevel="0" collapsed="false"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 customFormat="false" ht="15.75" hidden="false" customHeight="false" outlineLevel="0" collapsed="false"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 customFormat="false" ht="15.75" hidden="false" customHeight="false" outlineLevel="0" collapsed="false"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 customFormat="false" ht="15.75" hidden="false" customHeight="false" outlineLevel="0" collapsed="false"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 customFormat="false" ht="15.75" hidden="false" customHeight="false" outlineLevel="0" collapsed="false"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 customFormat="false" ht="15.75" hidden="false" customHeight="false" outlineLevel="0" collapsed="false"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  <row r="564" customFormat="false" ht="15.75" hidden="false" customHeight="false" outlineLevel="0" collapsed="false"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</row>
    <row r="565" customFormat="false" ht="15.75" hidden="false" customHeight="false" outlineLevel="0" collapsed="false"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</row>
    <row r="566" customFormat="false" ht="15.75" hidden="false" customHeight="false" outlineLevel="0" collapsed="false"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</row>
    <row r="567" customFormat="false" ht="15.75" hidden="false" customHeight="false" outlineLevel="0" collapsed="false"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customFormat="false" ht="15.75" hidden="false" customHeight="false" outlineLevel="0" collapsed="false"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</row>
    <row r="569" customFormat="false" ht="15.75" hidden="false" customHeight="false" outlineLevel="0" collapsed="false"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</row>
    <row r="570" customFormat="false" ht="15.75" hidden="false" customHeight="false" outlineLevel="0" collapsed="false"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</row>
    <row r="571" customFormat="false" ht="15.75" hidden="false" customHeight="false" outlineLevel="0" collapsed="false"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</row>
    <row r="572" customFormat="false" ht="15.75" hidden="false" customHeight="false" outlineLevel="0" collapsed="false"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customFormat="false" ht="15.75" hidden="false" customHeight="false" outlineLevel="0" collapsed="false"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</row>
    <row r="574" customFormat="false" ht="15.75" hidden="false" customHeight="false" outlineLevel="0" collapsed="false"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</row>
    <row r="575" customFormat="false" ht="15.75" hidden="false" customHeight="false" outlineLevel="0" collapsed="false"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</row>
    <row r="576" customFormat="false" ht="15.75" hidden="false" customHeight="false" outlineLevel="0" collapsed="false"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</row>
    <row r="577" customFormat="false" ht="15.75" hidden="false" customHeight="false" outlineLevel="0" collapsed="false"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</row>
    <row r="578" customFormat="false" ht="15.75" hidden="false" customHeight="false" outlineLevel="0" collapsed="false"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customFormat="false" ht="15.75" hidden="false" customHeight="false" outlineLevel="0" collapsed="false"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</row>
    <row r="580" customFormat="false" ht="15.75" hidden="false" customHeight="false" outlineLevel="0" collapsed="false"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</row>
    <row r="581" customFormat="false" ht="15.75" hidden="false" customHeight="false" outlineLevel="0" collapsed="false"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</row>
    <row r="582" customFormat="false" ht="15.75" hidden="false" customHeight="false" outlineLevel="0" collapsed="false"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</row>
    <row r="583" customFormat="false" ht="15.75" hidden="false" customHeight="false" outlineLevel="0" collapsed="false"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</row>
    <row r="584" customFormat="false" ht="15.75" hidden="false" customHeight="false" outlineLevel="0" collapsed="false"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</row>
    <row r="585" customFormat="false" ht="15.75" hidden="false" customHeight="false" outlineLevel="0" collapsed="false"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</row>
    <row r="586" customFormat="false" ht="15.75" hidden="false" customHeight="false" outlineLevel="0" collapsed="false"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</row>
    <row r="587" customFormat="false" ht="15.75" hidden="false" customHeight="false" outlineLevel="0" collapsed="false"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</row>
    <row r="588" customFormat="false" ht="15.75" hidden="false" customHeight="false" outlineLevel="0" collapsed="false"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</row>
    <row r="589" customFormat="false" ht="15.75" hidden="false" customHeight="false" outlineLevel="0" collapsed="false"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</row>
    <row r="590" customFormat="false" ht="15.75" hidden="false" customHeight="false" outlineLevel="0" collapsed="false"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</row>
    <row r="591" customFormat="false" ht="15.75" hidden="false" customHeight="false" outlineLevel="0" collapsed="false"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</row>
    <row r="592" customFormat="false" ht="15.75" hidden="false" customHeight="false" outlineLevel="0" collapsed="false"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</row>
    <row r="593" customFormat="false" ht="15.75" hidden="false" customHeight="false" outlineLevel="0" collapsed="false"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</row>
    <row r="594" customFormat="false" ht="15.75" hidden="false" customHeight="false" outlineLevel="0" collapsed="false"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</row>
    <row r="595" customFormat="false" ht="15.75" hidden="false" customHeight="false" outlineLevel="0" collapsed="false"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</row>
    <row r="596" customFormat="false" ht="15.75" hidden="false" customHeight="false" outlineLevel="0" collapsed="false"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</row>
    <row r="597" customFormat="false" ht="15.75" hidden="false" customHeight="false" outlineLevel="0" collapsed="false"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</row>
    <row r="598" customFormat="false" ht="15.75" hidden="false" customHeight="false" outlineLevel="0" collapsed="false"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</row>
    <row r="599" customFormat="false" ht="15.75" hidden="false" customHeight="false" outlineLevel="0" collapsed="false"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</row>
    <row r="600" customFormat="false" ht="15.75" hidden="false" customHeight="false" outlineLevel="0" collapsed="false"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</row>
    <row r="601" customFormat="false" ht="15.75" hidden="false" customHeight="false" outlineLevel="0" collapsed="false"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</row>
    <row r="602" customFormat="false" ht="15.75" hidden="false" customHeight="false" outlineLevel="0" collapsed="false"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</row>
    <row r="603" customFormat="false" ht="15.75" hidden="false" customHeight="false" outlineLevel="0" collapsed="false"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</row>
    <row r="604" customFormat="false" ht="15.75" hidden="false" customHeight="false" outlineLevel="0" collapsed="false"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</row>
    <row r="605" customFormat="false" ht="15.75" hidden="false" customHeight="false" outlineLevel="0" collapsed="false"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</row>
    <row r="606" customFormat="false" ht="15.75" hidden="false" customHeight="false" outlineLevel="0" collapsed="false"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</row>
    <row r="607" customFormat="false" ht="15.75" hidden="false" customHeight="false" outlineLevel="0" collapsed="false"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customFormat="false" ht="15.75" hidden="false" customHeight="false" outlineLevel="0" collapsed="false"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</row>
    <row r="609" customFormat="false" ht="15.75" hidden="false" customHeight="false" outlineLevel="0" collapsed="false"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</row>
    <row r="610" customFormat="false" ht="15.75" hidden="false" customHeight="false" outlineLevel="0" collapsed="false"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</row>
    <row r="611" customFormat="false" ht="15.75" hidden="false" customHeight="false" outlineLevel="0" collapsed="false"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customFormat="false" ht="15.75" hidden="false" customHeight="false" outlineLevel="0" collapsed="false"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</row>
    <row r="613" customFormat="false" ht="15.75" hidden="false" customHeight="false" outlineLevel="0" collapsed="false"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</row>
    <row r="614" customFormat="false" ht="15.75" hidden="false" customHeight="false" outlineLevel="0" collapsed="false"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</row>
    <row r="615" customFormat="false" ht="15.75" hidden="false" customHeight="false" outlineLevel="0" collapsed="false"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</row>
    <row r="616" customFormat="false" ht="15.75" hidden="false" customHeight="false" outlineLevel="0" collapsed="false"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</row>
    <row r="617" customFormat="false" ht="15.75" hidden="false" customHeight="false" outlineLevel="0" collapsed="false"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</row>
    <row r="618" customFormat="false" ht="15.75" hidden="false" customHeight="false" outlineLevel="0" collapsed="false"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</row>
    <row r="619" customFormat="false" ht="15.75" hidden="false" customHeight="false" outlineLevel="0" collapsed="false"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</row>
    <row r="620" customFormat="false" ht="15.75" hidden="false" customHeight="false" outlineLevel="0" collapsed="false"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</row>
    <row r="621" customFormat="false" ht="15.75" hidden="false" customHeight="false" outlineLevel="0" collapsed="false"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</row>
    <row r="622" customFormat="false" ht="15.75" hidden="false" customHeight="false" outlineLevel="0" collapsed="false"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</row>
    <row r="623" customFormat="false" ht="15.75" hidden="false" customHeight="false" outlineLevel="0" collapsed="false"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</row>
    <row r="624" customFormat="false" ht="15.75" hidden="false" customHeight="false" outlineLevel="0" collapsed="false"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</row>
    <row r="625" customFormat="false" ht="15.75" hidden="false" customHeight="false" outlineLevel="0" collapsed="false"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customFormat="false" ht="15.75" hidden="false" customHeight="false" outlineLevel="0" collapsed="false"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</row>
    <row r="627" customFormat="false" ht="15.75" hidden="false" customHeight="false" outlineLevel="0" collapsed="false"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</row>
    <row r="628" customFormat="false" ht="15.75" hidden="false" customHeight="false" outlineLevel="0" collapsed="false"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</row>
    <row r="629" customFormat="false" ht="15.75" hidden="false" customHeight="false" outlineLevel="0" collapsed="false"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</row>
    <row r="630" customFormat="false" ht="15.75" hidden="false" customHeight="false" outlineLevel="0" collapsed="false"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</row>
    <row r="631" customFormat="false" ht="15.75" hidden="false" customHeight="false" outlineLevel="0" collapsed="false"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</row>
    <row r="632" customFormat="false" ht="15.75" hidden="false" customHeight="false" outlineLevel="0" collapsed="false"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</row>
    <row r="633" customFormat="false" ht="15.75" hidden="false" customHeight="false" outlineLevel="0" collapsed="false"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</row>
    <row r="634" customFormat="false" ht="15.75" hidden="false" customHeight="false" outlineLevel="0" collapsed="false"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</row>
    <row r="635" customFormat="false" ht="15.75" hidden="false" customHeight="false" outlineLevel="0" collapsed="false"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</row>
    <row r="636" customFormat="false" ht="15.75" hidden="false" customHeight="false" outlineLevel="0" collapsed="false"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</row>
    <row r="637" customFormat="false" ht="15.75" hidden="false" customHeight="false" outlineLevel="0" collapsed="false"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</row>
    <row r="638" customFormat="false" ht="15.75" hidden="false" customHeight="false" outlineLevel="0" collapsed="false"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 customFormat="false" ht="15.75" hidden="false" customHeight="false" outlineLevel="0" collapsed="false"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customFormat="false" ht="15.75" hidden="false" customHeight="false" outlineLevel="0" collapsed="false"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</row>
    <row r="641" customFormat="false" ht="15.75" hidden="false" customHeight="false" outlineLevel="0" collapsed="false"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</row>
    <row r="642" customFormat="false" ht="15.75" hidden="false" customHeight="false" outlineLevel="0" collapsed="false"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</row>
    <row r="643" customFormat="false" ht="15.75" hidden="false" customHeight="false" outlineLevel="0" collapsed="false"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</row>
    <row r="644" customFormat="false" ht="15.75" hidden="false" customHeight="false" outlineLevel="0" collapsed="false"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</row>
    <row r="645" customFormat="false" ht="15.75" hidden="false" customHeight="false" outlineLevel="0" collapsed="false"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</row>
    <row r="646" customFormat="false" ht="15.75" hidden="false" customHeight="false" outlineLevel="0" collapsed="false"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</row>
    <row r="647" customFormat="false" ht="15.75" hidden="false" customHeight="false" outlineLevel="0" collapsed="false"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</row>
    <row r="648" customFormat="false" ht="15.75" hidden="false" customHeight="false" outlineLevel="0" collapsed="false"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</row>
    <row r="649" customFormat="false" ht="15.75" hidden="false" customHeight="false" outlineLevel="0" collapsed="false"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</row>
    <row r="650" customFormat="false" ht="15.75" hidden="false" customHeight="false" outlineLevel="0" collapsed="false"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</row>
    <row r="651" customFormat="false" ht="15.75" hidden="false" customHeight="false" outlineLevel="0" collapsed="false"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</row>
    <row r="652" customFormat="false" ht="15.75" hidden="false" customHeight="false" outlineLevel="0" collapsed="false"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</row>
    <row r="653" customFormat="false" ht="15.75" hidden="false" customHeight="false" outlineLevel="0" collapsed="false"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customFormat="false" ht="15.75" hidden="false" customHeight="false" outlineLevel="0" collapsed="false"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</row>
    <row r="655" customFormat="false" ht="15.75" hidden="false" customHeight="false" outlineLevel="0" collapsed="false"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</row>
    <row r="656" customFormat="false" ht="15.75" hidden="false" customHeight="false" outlineLevel="0" collapsed="false"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</row>
    <row r="657" customFormat="false" ht="15.75" hidden="false" customHeight="false" outlineLevel="0" collapsed="false"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</row>
    <row r="658" customFormat="false" ht="15.75" hidden="false" customHeight="false" outlineLevel="0" collapsed="false"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</row>
    <row r="659" customFormat="false" ht="15.75" hidden="false" customHeight="false" outlineLevel="0" collapsed="false"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</row>
    <row r="660" customFormat="false" ht="15.75" hidden="false" customHeight="false" outlineLevel="0" collapsed="false"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</row>
    <row r="661" customFormat="false" ht="15.75" hidden="false" customHeight="false" outlineLevel="0" collapsed="false"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</row>
    <row r="662" customFormat="false" ht="15.75" hidden="false" customHeight="false" outlineLevel="0" collapsed="false"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</row>
    <row r="663" customFormat="false" ht="15.75" hidden="false" customHeight="false" outlineLevel="0" collapsed="false"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</row>
    <row r="664" customFormat="false" ht="15.75" hidden="false" customHeight="false" outlineLevel="0" collapsed="false"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</row>
    <row r="665" customFormat="false" ht="15.75" hidden="false" customHeight="false" outlineLevel="0" collapsed="false"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</row>
    <row r="666" customFormat="false" ht="15.75" hidden="false" customHeight="false" outlineLevel="0" collapsed="false"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</row>
    <row r="667" customFormat="false" ht="15.75" hidden="false" customHeight="false" outlineLevel="0" collapsed="false"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</row>
    <row r="668" customFormat="false" ht="15.75" hidden="false" customHeight="false" outlineLevel="0" collapsed="false"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customFormat="false" ht="15.75" hidden="false" customHeight="false" outlineLevel="0" collapsed="false"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</row>
    <row r="670" customFormat="false" ht="15.75" hidden="false" customHeight="false" outlineLevel="0" collapsed="false"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</row>
    <row r="671" customFormat="false" ht="15.75" hidden="false" customHeight="false" outlineLevel="0" collapsed="false"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</row>
    <row r="672" customFormat="false" ht="15.75" hidden="false" customHeight="false" outlineLevel="0" collapsed="false"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</row>
    <row r="673" customFormat="false" ht="15.75" hidden="false" customHeight="false" outlineLevel="0" collapsed="false"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</row>
    <row r="674" customFormat="false" ht="15.75" hidden="false" customHeight="false" outlineLevel="0" collapsed="false"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</row>
    <row r="675" customFormat="false" ht="15.75" hidden="false" customHeight="false" outlineLevel="0" collapsed="false"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</row>
    <row r="676" customFormat="false" ht="15.75" hidden="false" customHeight="false" outlineLevel="0" collapsed="false"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</row>
    <row r="677" customFormat="false" ht="15.75" hidden="false" customHeight="false" outlineLevel="0" collapsed="false"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</row>
    <row r="678" customFormat="false" ht="15.75" hidden="false" customHeight="false" outlineLevel="0" collapsed="false"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</row>
    <row r="679" customFormat="false" ht="15.75" hidden="false" customHeight="false" outlineLevel="0" collapsed="false"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</row>
    <row r="680" customFormat="false" ht="15.75" hidden="false" customHeight="false" outlineLevel="0" collapsed="false"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</row>
    <row r="681" customFormat="false" ht="15.75" hidden="false" customHeight="false" outlineLevel="0" collapsed="false"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customFormat="false" ht="15.75" hidden="false" customHeight="false" outlineLevel="0" collapsed="false"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</row>
    <row r="683" customFormat="false" ht="15.75" hidden="false" customHeight="false" outlineLevel="0" collapsed="false"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</row>
    <row r="684" customFormat="false" ht="15.75" hidden="false" customHeight="false" outlineLevel="0" collapsed="false"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</row>
    <row r="685" customFormat="false" ht="15.75" hidden="false" customHeight="false" outlineLevel="0" collapsed="false"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</row>
    <row r="686" customFormat="false" ht="15.75" hidden="false" customHeight="false" outlineLevel="0" collapsed="false"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</row>
    <row r="687" customFormat="false" ht="15.75" hidden="false" customHeight="false" outlineLevel="0" collapsed="false"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</row>
    <row r="688" customFormat="false" ht="15.75" hidden="false" customHeight="false" outlineLevel="0" collapsed="false"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</row>
    <row r="689" customFormat="false" ht="15.75" hidden="false" customHeight="false" outlineLevel="0" collapsed="false"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</row>
    <row r="690" customFormat="false" ht="15.75" hidden="false" customHeight="false" outlineLevel="0" collapsed="false"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customFormat="false" ht="15.75" hidden="false" customHeight="false" outlineLevel="0" collapsed="false"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</row>
    <row r="692" customFormat="false" ht="15.75" hidden="false" customHeight="false" outlineLevel="0" collapsed="false"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</row>
    <row r="693" customFormat="false" ht="15.75" hidden="false" customHeight="false" outlineLevel="0" collapsed="false"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</row>
    <row r="694" customFormat="false" ht="15.75" hidden="false" customHeight="false" outlineLevel="0" collapsed="false"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</row>
    <row r="695" customFormat="false" ht="15.75" hidden="false" customHeight="false" outlineLevel="0" collapsed="false"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</row>
    <row r="696" customFormat="false" ht="15.75" hidden="false" customHeight="false" outlineLevel="0" collapsed="false"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</row>
    <row r="697" customFormat="false" ht="15.75" hidden="false" customHeight="false" outlineLevel="0" collapsed="false"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</row>
    <row r="698" customFormat="false" ht="15.75" hidden="false" customHeight="false" outlineLevel="0" collapsed="false"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</row>
    <row r="699" customFormat="false" ht="15.75" hidden="false" customHeight="false" outlineLevel="0" collapsed="false"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</row>
    <row r="700" customFormat="false" ht="15.75" hidden="false" customHeight="false" outlineLevel="0" collapsed="false"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</row>
    <row r="701" customFormat="false" ht="15.75" hidden="false" customHeight="false" outlineLevel="0" collapsed="false"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customFormat="false" ht="15.75" hidden="false" customHeight="false" outlineLevel="0" collapsed="false"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</row>
    <row r="703" customFormat="false" ht="15.75" hidden="false" customHeight="false" outlineLevel="0" collapsed="false"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</row>
    <row r="704" customFormat="false" ht="15.75" hidden="false" customHeight="false" outlineLevel="0" collapsed="false"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</row>
    <row r="705" customFormat="false" ht="15.75" hidden="false" customHeight="false" outlineLevel="0" collapsed="false"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</row>
    <row r="706" customFormat="false" ht="15.75" hidden="false" customHeight="false" outlineLevel="0" collapsed="false"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</row>
    <row r="707" customFormat="false" ht="15.75" hidden="false" customHeight="false" outlineLevel="0" collapsed="false"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</row>
    <row r="708" customFormat="false" ht="15.75" hidden="false" customHeight="false" outlineLevel="0" collapsed="false"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</row>
    <row r="709" customFormat="false" ht="15.75" hidden="false" customHeight="false" outlineLevel="0" collapsed="false"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</row>
    <row r="710" customFormat="false" ht="15.75" hidden="false" customHeight="false" outlineLevel="0" collapsed="false"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</row>
    <row r="711" customFormat="false" ht="15.75" hidden="false" customHeight="false" outlineLevel="0" collapsed="false"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customFormat="false" ht="15.75" hidden="false" customHeight="false" outlineLevel="0" collapsed="false"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</row>
    <row r="713" customFormat="false" ht="15.75" hidden="false" customHeight="false" outlineLevel="0" collapsed="false"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</row>
    <row r="714" customFormat="false" ht="15.75" hidden="false" customHeight="false" outlineLevel="0" collapsed="false"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</row>
    <row r="715" customFormat="false" ht="15.75" hidden="false" customHeight="false" outlineLevel="0" collapsed="false"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</row>
    <row r="716" customFormat="false" ht="15.75" hidden="false" customHeight="false" outlineLevel="0" collapsed="false"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customFormat="false" ht="15.75" hidden="false" customHeight="false" outlineLevel="0" collapsed="false"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</row>
    <row r="718" customFormat="false" ht="15.75" hidden="false" customHeight="false" outlineLevel="0" collapsed="false"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</row>
    <row r="719" customFormat="false" ht="15.75" hidden="false" customHeight="false" outlineLevel="0" collapsed="false"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</row>
    <row r="720" customFormat="false" ht="15.75" hidden="false" customHeight="false" outlineLevel="0" collapsed="false"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customFormat="false" ht="15.75" hidden="false" customHeight="false" outlineLevel="0" collapsed="false"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</row>
    <row r="722" customFormat="false" ht="15.75" hidden="false" customHeight="false" outlineLevel="0" collapsed="false"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</row>
    <row r="723" customFormat="false" ht="15.75" hidden="false" customHeight="false" outlineLevel="0" collapsed="false"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</row>
    <row r="724" customFormat="false" ht="15.75" hidden="false" customHeight="false" outlineLevel="0" collapsed="false"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</row>
    <row r="725" customFormat="false" ht="15.75" hidden="false" customHeight="false" outlineLevel="0" collapsed="false"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</row>
    <row r="726" customFormat="false" ht="15.75" hidden="false" customHeight="false" outlineLevel="0" collapsed="false"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</row>
    <row r="727" customFormat="false" ht="15.75" hidden="false" customHeight="false" outlineLevel="0" collapsed="false"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</row>
    <row r="728" customFormat="false" ht="15.75" hidden="false" customHeight="false" outlineLevel="0" collapsed="false"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</row>
    <row r="729" customFormat="false" ht="15.75" hidden="false" customHeight="false" outlineLevel="0" collapsed="false"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</row>
    <row r="730" customFormat="false" ht="15.75" hidden="false" customHeight="false" outlineLevel="0" collapsed="false"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</row>
    <row r="731" customFormat="false" ht="15.75" hidden="false" customHeight="false" outlineLevel="0" collapsed="false"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</row>
    <row r="732" customFormat="false" ht="15.75" hidden="false" customHeight="false" outlineLevel="0" collapsed="false"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</row>
    <row r="733" customFormat="false" ht="15.75" hidden="false" customHeight="false" outlineLevel="0" collapsed="false"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</row>
    <row r="734" customFormat="false" ht="15.75" hidden="false" customHeight="false" outlineLevel="0" collapsed="false"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</row>
    <row r="735" customFormat="false" ht="15.75" hidden="false" customHeight="false" outlineLevel="0" collapsed="false"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customFormat="false" ht="15.75" hidden="false" customHeight="false" outlineLevel="0" collapsed="false"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</row>
    <row r="737" customFormat="false" ht="15.75" hidden="false" customHeight="false" outlineLevel="0" collapsed="false"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</row>
    <row r="738" customFormat="false" ht="15.75" hidden="false" customHeight="false" outlineLevel="0" collapsed="false"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</row>
    <row r="739" customFormat="false" ht="15.75" hidden="false" customHeight="false" outlineLevel="0" collapsed="false"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</row>
    <row r="740" customFormat="false" ht="15.75" hidden="false" customHeight="false" outlineLevel="0" collapsed="false"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</row>
    <row r="741" customFormat="false" ht="15.75" hidden="false" customHeight="false" outlineLevel="0" collapsed="false"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</row>
    <row r="742" customFormat="false" ht="15.75" hidden="false" customHeight="false" outlineLevel="0" collapsed="false"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</row>
    <row r="743" customFormat="false" ht="15.75" hidden="false" customHeight="false" outlineLevel="0" collapsed="false"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</row>
    <row r="744" customFormat="false" ht="15.75" hidden="false" customHeight="false" outlineLevel="0" collapsed="false"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</row>
    <row r="745" customFormat="false" ht="15.75" hidden="false" customHeight="false" outlineLevel="0" collapsed="false"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</row>
    <row r="746" customFormat="false" ht="15.75" hidden="false" customHeight="false" outlineLevel="0" collapsed="false"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</row>
    <row r="747" customFormat="false" ht="15.75" hidden="false" customHeight="false" outlineLevel="0" collapsed="false"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</row>
    <row r="748" customFormat="false" ht="15.75" hidden="false" customHeight="false" outlineLevel="0" collapsed="false"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</row>
    <row r="749" customFormat="false" ht="15.75" hidden="false" customHeight="false" outlineLevel="0" collapsed="false"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</row>
    <row r="750" customFormat="false" ht="15.75" hidden="false" customHeight="false" outlineLevel="0" collapsed="false"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customFormat="false" ht="15.75" hidden="false" customHeight="false" outlineLevel="0" collapsed="false"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</row>
    <row r="752" customFormat="false" ht="15.75" hidden="false" customHeight="false" outlineLevel="0" collapsed="false"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</row>
    <row r="753" customFormat="false" ht="15.75" hidden="false" customHeight="false" outlineLevel="0" collapsed="false"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</row>
    <row r="754" customFormat="false" ht="15.75" hidden="false" customHeight="false" outlineLevel="0" collapsed="false"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</row>
    <row r="755" customFormat="false" ht="15.75" hidden="false" customHeight="false" outlineLevel="0" collapsed="false"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</row>
    <row r="756" customFormat="false" ht="15.75" hidden="false" customHeight="false" outlineLevel="0" collapsed="false"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</row>
    <row r="757" customFormat="false" ht="15.75" hidden="false" customHeight="false" outlineLevel="0" collapsed="false"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</row>
    <row r="758" customFormat="false" ht="15.75" hidden="false" customHeight="false" outlineLevel="0" collapsed="false"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</row>
    <row r="759" customFormat="false" ht="15.75" hidden="false" customHeight="false" outlineLevel="0" collapsed="false"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</row>
    <row r="760" customFormat="false" ht="15.75" hidden="false" customHeight="false" outlineLevel="0" collapsed="false"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</row>
    <row r="761" customFormat="false" ht="15.75" hidden="false" customHeight="false" outlineLevel="0" collapsed="false"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 customFormat="false" ht="15.75" hidden="false" customHeight="false" outlineLevel="0" collapsed="false"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customFormat="false" ht="15.75" hidden="false" customHeight="false" outlineLevel="0" collapsed="false"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</row>
    <row r="764" customFormat="false" ht="15.75" hidden="false" customHeight="false" outlineLevel="0" collapsed="false"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</row>
    <row r="765" customFormat="false" ht="15.75" hidden="false" customHeight="false" outlineLevel="0" collapsed="false"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</row>
    <row r="766" customFormat="false" ht="15.75" hidden="false" customHeight="false" outlineLevel="0" collapsed="false"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</row>
    <row r="767" customFormat="false" ht="15.75" hidden="false" customHeight="false" outlineLevel="0" collapsed="false"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</row>
    <row r="768" customFormat="false" ht="15.75" hidden="false" customHeight="false" outlineLevel="0" collapsed="false"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</row>
    <row r="769" customFormat="false" ht="15.75" hidden="false" customHeight="false" outlineLevel="0" collapsed="false"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</row>
    <row r="770" customFormat="false" ht="15.75" hidden="false" customHeight="false" outlineLevel="0" collapsed="false"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</row>
    <row r="771" customFormat="false" ht="15.75" hidden="false" customHeight="false" outlineLevel="0" collapsed="false"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</row>
    <row r="772" customFormat="false" ht="15.75" hidden="false" customHeight="false" outlineLevel="0" collapsed="false"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</row>
    <row r="773" customFormat="false" ht="15.75" hidden="false" customHeight="false" outlineLevel="0" collapsed="false"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</row>
    <row r="774" customFormat="false" ht="15.75" hidden="false" customHeight="false" outlineLevel="0" collapsed="false"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</row>
    <row r="775" customFormat="false" ht="15.75" hidden="false" customHeight="false" outlineLevel="0" collapsed="false"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</row>
    <row r="776" customFormat="false" ht="15.75" hidden="false" customHeight="false" outlineLevel="0" collapsed="false"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</row>
    <row r="777" customFormat="false" ht="15.75" hidden="false" customHeight="false" outlineLevel="0" collapsed="false"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</row>
    <row r="778" customFormat="false" ht="15.75" hidden="false" customHeight="false" outlineLevel="0" collapsed="false"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</row>
    <row r="779" customFormat="false" ht="15.75" hidden="false" customHeight="false" outlineLevel="0" collapsed="false"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</row>
    <row r="780" customFormat="false" ht="15.75" hidden="false" customHeight="false" outlineLevel="0" collapsed="false"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</row>
    <row r="781" customFormat="false" ht="15.75" hidden="false" customHeight="false" outlineLevel="0" collapsed="false"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</row>
    <row r="782" customFormat="false" ht="15.75" hidden="false" customHeight="false" outlineLevel="0" collapsed="false"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</row>
    <row r="783" customFormat="false" ht="15.75" hidden="false" customHeight="false" outlineLevel="0" collapsed="false"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</row>
    <row r="784" customFormat="false" ht="15.75" hidden="false" customHeight="false" outlineLevel="0" collapsed="false"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</row>
    <row r="785" customFormat="false" ht="15.75" hidden="false" customHeight="false" outlineLevel="0" collapsed="false"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</row>
    <row r="786" customFormat="false" ht="15.75" hidden="false" customHeight="false" outlineLevel="0" collapsed="false"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</row>
    <row r="787" customFormat="false" ht="15.75" hidden="false" customHeight="false" outlineLevel="0" collapsed="false"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</row>
    <row r="788" customFormat="false" ht="15.75" hidden="false" customHeight="false" outlineLevel="0" collapsed="false"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</row>
    <row r="789" customFormat="false" ht="15.75" hidden="false" customHeight="false" outlineLevel="0" collapsed="false"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</row>
    <row r="790" customFormat="false" ht="15.75" hidden="false" customHeight="false" outlineLevel="0" collapsed="false"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</row>
    <row r="791" customFormat="false" ht="15.75" hidden="false" customHeight="false" outlineLevel="0" collapsed="false"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</row>
    <row r="792" customFormat="false" ht="15.75" hidden="false" customHeight="false" outlineLevel="0" collapsed="false"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</row>
    <row r="793" customFormat="false" ht="15.75" hidden="false" customHeight="false" outlineLevel="0" collapsed="false"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</row>
    <row r="794" customFormat="false" ht="15.75" hidden="false" customHeight="false" outlineLevel="0" collapsed="false"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</row>
    <row r="795" customFormat="false" ht="15.75" hidden="false" customHeight="false" outlineLevel="0" collapsed="false"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</row>
    <row r="796" customFormat="false" ht="15.75" hidden="false" customHeight="false" outlineLevel="0" collapsed="false"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</row>
    <row r="797" customFormat="false" ht="15.75" hidden="false" customHeight="false" outlineLevel="0" collapsed="false"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</row>
    <row r="798" customFormat="false" ht="15.75" hidden="false" customHeight="false" outlineLevel="0" collapsed="false"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</row>
    <row r="799" customFormat="false" ht="15.75" hidden="false" customHeight="false" outlineLevel="0" collapsed="false"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</row>
    <row r="800" customFormat="false" ht="15.75" hidden="false" customHeight="false" outlineLevel="0" collapsed="false"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</row>
    <row r="801" customFormat="false" ht="15.75" hidden="false" customHeight="false" outlineLevel="0" collapsed="false"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</row>
    <row r="802" customFormat="false" ht="15.75" hidden="false" customHeight="false" outlineLevel="0" collapsed="false"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</row>
    <row r="803" customFormat="false" ht="15.75" hidden="false" customHeight="false" outlineLevel="0" collapsed="false"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</row>
    <row r="804" customFormat="false" ht="15.75" hidden="false" customHeight="false" outlineLevel="0" collapsed="false"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</row>
    <row r="805" customFormat="false" ht="15.75" hidden="false" customHeight="false" outlineLevel="0" collapsed="false"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customFormat="false" ht="15.75" hidden="false" customHeight="false" outlineLevel="0" collapsed="false"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</row>
    <row r="807" customFormat="false" ht="15.75" hidden="false" customHeight="false" outlineLevel="0" collapsed="false"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</row>
    <row r="808" customFormat="false" ht="15.75" hidden="false" customHeight="false" outlineLevel="0" collapsed="false"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</row>
    <row r="809" customFormat="false" ht="15.75" hidden="false" customHeight="false" outlineLevel="0" collapsed="false"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</row>
    <row r="810" customFormat="false" ht="15.75" hidden="false" customHeight="false" outlineLevel="0" collapsed="false"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</row>
    <row r="811" customFormat="false" ht="15.75" hidden="false" customHeight="false" outlineLevel="0" collapsed="false"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</row>
    <row r="812" customFormat="false" ht="15.75" hidden="false" customHeight="false" outlineLevel="0" collapsed="false"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</row>
    <row r="813" customFormat="false" ht="15.75" hidden="false" customHeight="false" outlineLevel="0" collapsed="false"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customFormat="false" ht="15.75" hidden="false" customHeight="false" outlineLevel="0" collapsed="false"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</row>
    <row r="815" customFormat="false" ht="15.75" hidden="false" customHeight="false" outlineLevel="0" collapsed="false"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</row>
    <row r="816" customFormat="false" ht="15.75" hidden="false" customHeight="false" outlineLevel="0" collapsed="false"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</row>
    <row r="817" customFormat="false" ht="15.75" hidden="false" customHeight="false" outlineLevel="0" collapsed="false"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</row>
    <row r="818" customFormat="false" ht="15.75" hidden="false" customHeight="false" outlineLevel="0" collapsed="false"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</row>
    <row r="819" customFormat="false" ht="15.75" hidden="false" customHeight="false" outlineLevel="0" collapsed="false"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</row>
    <row r="820" customFormat="false" ht="15.75" hidden="false" customHeight="false" outlineLevel="0" collapsed="false"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</row>
    <row r="821" customFormat="false" ht="15.75" hidden="false" customHeight="false" outlineLevel="0" collapsed="false"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</row>
    <row r="822" customFormat="false" ht="15.75" hidden="false" customHeight="false" outlineLevel="0" collapsed="false"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</row>
    <row r="823" customFormat="false" ht="15.75" hidden="false" customHeight="false" outlineLevel="0" collapsed="false"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customFormat="false" ht="15.75" hidden="false" customHeight="false" outlineLevel="0" collapsed="false"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</row>
    <row r="825" customFormat="false" ht="15.75" hidden="false" customHeight="false" outlineLevel="0" collapsed="false"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</row>
    <row r="826" customFormat="false" ht="15.75" hidden="false" customHeight="false" outlineLevel="0" collapsed="false"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</row>
    <row r="827" customFormat="false" ht="15.75" hidden="false" customHeight="false" outlineLevel="0" collapsed="false"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</row>
    <row r="828" customFormat="false" ht="15.75" hidden="false" customHeight="false" outlineLevel="0" collapsed="false"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</row>
    <row r="829" customFormat="false" ht="15.75" hidden="false" customHeight="false" outlineLevel="0" collapsed="false"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</row>
    <row r="830" customFormat="false" ht="15.75" hidden="false" customHeight="false" outlineLevel="0" collapsed="false"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</row>
    <row r="831" customFormat="false" ht="15.75" hidden="false" customHeight="false" outlineLevel="0" collapsed="false"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</row>
    <row r="832" customFormat="false" ht="15.75" hidden="false" customHeight="false" outlineLevel="0" collapsed="false"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</row>
    <row r="833" customFormat="false" ht="15.75" hidden="false" customHeight="false" outlineLevel="0" collapsed="false"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</row>
    <row r="834" customFormat="false" ht="15.75" hidden="false" customHeight="false" outlineLevel="0" collapsed="false"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</row>
    <row r="835" customFormat="false" ht="15.75" hidden="false" customHeight="false" outlineLevel="0" collapsed="false"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</row>
    <row r="836" customFormat="false" ht="15.75" hidden="false" customHeight="false" outlineLevel="0" collapsed="false"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customFormat="false" ht="15.75" hidden="false" customHeight="false" outlineLevel="0" collapsed="false"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</row>
    <row r="838" customFormat="false" ht="15.75" hidden="false" customHeight="false" outlineLevel="0" collapsed="false"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</row>
    <row r="839" customFormat="false" ht="15.75" hidden="false" customHeight="false" outlineLevel="0" collapsed="false"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</row>
    <row r="840" customFormat="false" ht="15.75" hidden="false" customHeight="false" outlineLevel="0" collapsed="false"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</row>
    <row r="841" customFormat="false" ht="15.75" hidden="false" customHeight="false" outlineLevel="0" collapsed="false"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</row>
    <row r="842" customFormat="false" ht="15.75" hidden="false" customHeight="false" outlineLevel="0" collapsed="false"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</row>
    <row r="843" customFormat="false" ht="15.75" hidden="false" customHeight="false" outlineLevel="0" collapsed="false"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</row>
    <row r="844" customFormat="false" ht="15.75" hidden="false" customHeight="false" outlineLevel="0" collapsed="false"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</row>
    <row r="845" customFormat="false" ht="15.75" hidden="false" customHeight="false" outlineLevel="0" collapsed="false"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</row>
    <row r="846" customFormat="false" ht="15.75" hidden="false" customHeight="false" outlineLevel="0" collapsed="false"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</row>
    <row r="847" customFormat="false" ht="15.75" hidden="false" customHeight="false" outlineLevel="0" collapsed="false"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</row>
    <row r="848" customFormat="false" ht="15.75" hidden="false" customHeight="false" outlineLevel="0" collapsed="false"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</row>
    <row r="849" customFormat="false" ht="15.75" hidden="false" customHeight="false" outlineLevel="0" collapsed="false"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</row>
    <row r="850" customFormat="false" ht="15.75" hidden="false" customHeight="false" outlineLevel="0" collapsed="false"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</row>
    <row r="851" customFormat="false" ht="15.75" hidden="false" customHeight="false" outlineLevel="0" collapsed="false"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customFormat="false" ht="15.75" hidden="false" customHeight="false" outlineLevel="0" collapsed="false"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</row>
    <row r="853" customFormat="false" ht="15.75" hidden="false" customHeight="false" outlineLevel="0" collapsed="false"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</row>
    <row r="854" customFormat="false" ht="15.75" hidden="false" customHeight="false" outlineLevel="0" collapsed="false"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</row>
    <row r="855" customFormat="false" ht="15.75" hidden="false" customHeight="false" outlineLevel="0" collapsed="false"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</row>
    <row r="856" customFormat="false" ht="15.75" hidden="false" customHeight="false" outlineLevel="0" collapsed="false"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</row>
    <row r="857" customFormat="false" ht="15.75" hidden="false" customHeight="false" outlineLevel="0" collapsed="false"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</row>
    <row r="858" customFormat="false" ht="15.75" hidden="false" customHeight="false" outlineLevel="0" collapsed="false"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</row>
    <row r="859" customFormat="false" ht="15.75" hidden="false" customHeight="false" outlineLevel="0" collapsed="false"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</row>
    <row r="860" customFormat="false" ht="15.75" hidden="false" customHeight="false" outlineLevel="0" collapsed="false"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</row>
    <row r="861" customFormat="false" ht="15.75" hidden="false" customHeight="false" outlineLevel="0" collapsed="false"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</row>
    <row r="862" customFormat="false" ht="15.75" hidden="false" customHeight="false" outlineLevel="0" collapsed="false"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</row>
    <row r="863" customFormat="false" ht="15.75" hidden="false" customHeight="false" outlineLevel="0" collapsed="false"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</row>
    <row r="864" customFormat="false" ht="15.75" hidden="false" customHeight="false" outlineLevel="0" collapsed="false"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customFormat="false" ht="15.75" hidden="false" customHeight="false" outlineLevel="0" collapsed="false"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</row>
    <row r="866" customFormat="false" ht="15.75" hidden="false" customHeight="false" outlineLevel="0" collapsed="false"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</row>
    <row r="867" customFormat="false" ht="15.75" hidden="false" customHeight="false" outlineLevel="0" collapsed="false"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</row>
    <row r="868" customFormat="false" ht="15.75" hidden="false" customHeight="false" outlineLevel="0" collapsed="false"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</row>
    <row r="869" customFormat="false" ht="15.75" hidden="false" customHeight="false" outlineLevel="0" collapsed="false"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</row>
    <row r="870" customFormat="false" ht="15.75" hidden="false" customHeight="false" outlineLevel="0" collapsed="false"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</row>
    <row r="871" customFormat="false" ht="15.75" hidden="false" customHeight="false" outlineLevel="0" collapsed="false"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</row>
    <row r="872" customFormat="false" ht="15.75" hidden="false" customHeight="false" outlineLevel="0" collapsed="false"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</row>
    <row r="873" customFormat="false" ht="15.75" hidden="false" customHeight="false" outlineLevel="0" collapsed="false"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</row>
    <row r="874" customFormat="false" ht="15.75" hidden="false" customHeight="false" outlineLevel="0" collapsed="false"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</row>
    <row r="875" customFormat="false" ht="15.75" hidden="false" customHeight="false" outlineLevel="0" collapsed="false"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</row>
    <row r="876" customFormat="false" ht="15.75" hidden="false" customHeight="false" outlineLevel="0" collapsed="false"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</row>
    <row r="877" customFormat="false" ht="15.75" hidden="false" customHeight="false" outlineLevel="0" collapsed="false"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</row>
    <row r="878" customFormat="false" ht="15.75" hidden="false" customHeight="false" outlineLevel="0" collapsed="false"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 customFormat="false" ht="15.75" hidden="false" customHeight="false" outlineLevel="0" collapsed="false"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</row>
    <row r="880" customFormat="false" ht="15.75" hidden="false" customHeight="false" outlineLevel="0" collapsed="false"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</row>
    <row r="881" customFormat="false" ht="15.75" hidden="false" customHeight="false" outlineLevel="0" collapsed="false"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</row>
    <row r="882" customFormat="false" ht="15.75" hidden="false" customHeight="false" outlineLevel="0" collapsed="false"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</row>
    <row r="883" customFormat="false" ht="15.75" hidden="false" customHeight="false" outlineLevel="0" collapsed="false"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</row>
    <row r="884" customFormat="false" ht="15.75" hidden="false" customHeight="false" outlineLevel="0" collapsed="false"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</row>
    <row r="885" customFormat="false" ht="15.75" hidden="false" customHeight="false" outlineLevel="0" collapsed="false"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</row>
    <row r="886" customFormat="false" ht="15.75" hidden="false" customHeight="false" outlineLevel="0" collapsed="false"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</row>
    <row r="887" customFormat="false" ht="15.75" hidden="false" customHeight="false" outlineLevel="0" collapsed="false"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</row>
    <row r="888" customFormat="false" ht="15.75" hidden="false" customHeight="false" outlineLevel="0" collapsed="false"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</row>
    <row r="889" customFormat="false" ht="15.75" hidden="false" customHeight="false" outlineLevel="0" collapsed="false"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</row>
    <row r="890" customFormat="false" ht="15.75" hidden="false" customHeight="false" outlineLevel="0" collapsed="false"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</row>
    <row r="891" customFormat="false" ht="15.75" hidden="false" customHeight="false" outlineLevel="0" collapsed="false"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</row>
    <row r="892" customFormat="false" ht="15.75" hidden="false" customHeight="false" outlineLevel="0" collapsed="false"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</row>
    <row r="893" customFormat="false" ht="15.75" hidden="false" customHeight="false" outlineLevel="0" collapsed="false"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</row>
    <row r="894" customFormat="false" ht="15.75" hidden="false" customHeight="false" outlineLevel="0" collapsed="false"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</row>
    <row r="895" customFormat="false" ht="15.75" hidden="false" customHeight="false" outlineLevel="0" collapsed="false"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</row>
    <row r="896" customFormat="false" ht="15.75" hidden="false" customHeight="false" outlineLevel="0" collapsed="false"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</row>
    <row r="897" customFormat="false" ht="15.75" hidden="false" customHeight="false" outlineLevel="0" collapsed="false"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</row>
    <row r="898" customFormat="false" ht="15.75" hidden="false" customHeight="false" outlineLevel="0" collapsed="false"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customFormat="false" ht="15.75" hidden="false" customHeight="false" outlineLevel="0" collapsed="false"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</row>
    <row r="900" customFormat="false" ht="15.75" hidden="false" customHeight="false" outlineLevel="0" collapsed="false"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</row>
    <row r="901" customFormat="false" ht="15.75" hidden="false" customHeight="false" outlineLevel="0" collapsed="false"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</row>
    <row r="902" customFormat="false" ht="15.75" hidden="false" customHeight="false" outlineLevel="0" collapsed="false"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</row>
    <row r="903" customFormat="false" ht="15.75" hidden="false" customHeight="false" outlineLevel="0" collapsed="false"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</row>
    <row r="904" customFormat="false" ht="15.75" hidden="false" customHeight="false" outlineLevel="0" collapsed="false"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</row>
    <row r="905" customFormat="false" ht="15.75" hidden="false" customHeight="false" outlineLevel="0" collapsed="false"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</row>
    <row r="906" customFormat="false" ht="15.75" hidden="false" customHeight="false" outlineLevel="0" collapsed="false"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</row>
    <row r="907" customFormat="false" ht="15.75" hidden="false" customHeight="false" outlineLevel="0" collapsed="false"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</row>
    <row r="908" customFormat="false" ht="15.75" hidden="false" customHeight="false" outlineLevel="0" collapsed="false"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</row>
    <row r="909" customFormat="false" ht="15.75" hidden="false" customHeight="false" outlineLevel="0" collapsed="false"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</row>
    <row r="910" customFormat="false" ht="15.75" hidden="false" customHeight="false" outlineLevel="0" collapsed="false"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</row>
    <row r="911" customFormat="false" ht="15.75" hidden="false" customHeight="false" outlineLevel="0" collapsed="false"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</row>
    <row r="912" customFormat="false" ht="15.75" hidden="false" customHeight="false" outlineLevel="0" collapsed="false"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</row>
    <row r="913" customFormat="false" ht="15.75" hidden="false" customHeight="false" outlineLevel="0" collapsed="false"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</row>
    <row r="914" customFormat="false" ht="15.75" hidden="false" customHeight="false" outlineLevel="0" collapsed="false"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</row>
    <row r="915" customFormat="false" ht="15.75" hidden="false" customHeight="false" outlineLevel="0" collapsed="false"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</row>
    <row r="916" customFormat="false" ht="15.75" hidden="false" customHeight="false" outlineLevel="0" collapsed="false"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</row>
    <row r="917" customFormat="false" ht="15.75" hidden="false" customHeight="false" outlineLevel="0" collapsed="false"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</row>
    <row r="918" customFormat="false" ht="15.75" hidden="false" customHeight="false" outlineLevel="0" collapsed="false"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customFormat="false" ht="15.75" hidden="false" customHeight="false" outlineLevel="0" collapsed="false"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</row>
    <row r="920" customFormat="false" ht="15.75" hidden="false" customHeight="false" outlineLevel="0" collapsed="false"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</row>
    <row r="921" customFormat="false" ht="15.75" hidden="false" customHeight="false" outlineLevel="0" collapsed="false"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</row>
    <row r="922" customFormat="false" ht="15.75" hidden="false" customHeight="false" outlineLevel="0" collapsed="false"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</row>
    <row r="923" customFormat="false" ht="15.75" hidden="false" customHeight="false" outlineLevel="0" collapsed="false"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</row>
    <row r="924" customFormat="false" ht="15.75" hidden="false" customHeight="false" outlineLevel="0" collapsed="false"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</row>
    <row r="925" customFormat="false" ht="15.75" hidden="false" customHeight="false" outlineLevel="0" collapsed="false"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</row>
    <row r="926" customFormat="false" ht="15.75" hidden="false" customHeight="false" outlineLevel="0" collapsed="false"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</row>
    <row r="927" customFormat="false" ht="15.75" hidden="false" customHeight="false" outlineLevel="0" collapsed="false"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</row>
    <row r="928" customFormat="false" ht="15.75" hidden="false" customHeight="false" outlineLevel="0" collapsed="false"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</row>
    <row r="929" customFormat="false" ht="15.75" hidden="false" customHeight="false" outlineLevel="0" collapsed="false"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</row>
    <row r="930" customFormat="false" ht="15.75" hidden="false" customHeight="false" outlineLevel="0" collapsed="false"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</row>
    <row r="931" customFormat="false" ht="15.75" hidden="false" customHeight="false" outlineLevel="0" collapsed="false"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</row>
    <row r="932" customFormat="false" ht="15.75" hidden="false" customHeight="false" outlineLevel="0" collapsed="false"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customFormat="false" ht="15.75" hidden="false" customHeight="false" outlineLevel="0" collapsed="false"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</row>
    <row r="934" customFormat="false" ht="15.75" hidden="false" customHeight="false" outlineLevel="0" collapsed="false"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</row>
    <row r="935" customFormat="false" ht="15.75" hidden="false" customHeight="false" outlineLevel="0" collapsed="false"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</row>
    <row r="936" customFormat="false" ht="15.75" hidden="false" customHeight="false" outlineLevel="0" collapsed="false"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</row>
    <row r="937" customFormat="false" ht="15.75" hidden="false" customHeight="false" outlineLevel="0" collapsed="false"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</row>
    <row r="938" customFormat="false" ht="15.75" hidden="false" customHeight="false" outlineLevel="0" collapsed="false"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</row>
  </sheetData>
  <conditionalFormatting sqref="I2:L192">
    <cfRule type="expression" priority="2" aboveAverage="0" equalAverage="0" bottom="0" percent="0" rank="0" text="" dxfId="0">
      <formula>LEN(TRIM(I2))=0</formula>
    </cfRule>
  </conditionalFormatting>
  <conditionalFormatting sqref="O2:O166">
    <cfRule type="cellIs" priority="3" operator="equal" aboveAverage="0" equalAverage="0" bottom="0" percent="0" rank="0" text="" dxfId="1">
      <formula>2</formula>
    </cfRule>
  </conditionalFormatting>
  <conditionalFormatting sqref="O2:O166">
    <cfRule type="cellIs" priority="4" operator="equal" aboveAverage="0" equalAverage="0" bottom="0" percent="0" rank="0" text="" dxfId="2">
      <formula>-1</formula>
    </cfRule>
  </conditionalFormatting>
  <conditionalFormatting sqref="O2:O166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4.71"/>
    <col collapsed="false" customWidth="true" hidden="false" outlineLevel="0" max="4" min="4" style="0" width="7.29"/>
  </cols>
  <sheetData>
    <row r="1" customFormat="false" ht="15.75" hidden="false" customHeight="false" outlineLevel="0" collapsed="false">
      <c r="F1" s="33" t="n">
        <v>43654</v>
      </c>
      <c r="G1" s="33" t="n">
        <v>43655</v>
      </c>
      <c r="H1" s="33" t="n">
        <v>43656</v>
      </c>
      <c r="I1" s="33" t="n">
        <v>43657</v>
      </c>
      <c r="J1" s="33" t="n">
        <v>43658</v>
      </c>
    </row>
    <row r="2" customFormat="false" ht="15.75" hidden="false" customHeight="false" outlineLevel="0" collapsed="false">
      <c r="A2" s="0" t="str">
        <f aca="false">IFERROR(__xludf.dummyfunction("filter(SORT('Переформатированный ответ'!B2:E200,'Переформатированный ответ'!$I$2:$I$200,TRUE,'Переформатированный ответ'!$B$2:$B$200,TRUE),SORT('Переформатированный ответ'!O2:O200,'Переформатированный ответ'!$I$2:$I$200,TRUE,'Переформатированный ответ'!$B"&amp;"$2:$B$200,TRUE) &gt; -1,SORT('Переформатированный ответ'!I2:I200,'Переформатированный ответ'!$I$2:$I$200,TRUE,'Переформатированный ответ'!$B$2:$B$200,TRUE) &lt;&gt; ""Меня не будет в это время"")"),"Гричкоедовой")</f>
        <v>Гричкоедовой</v>
      </c>
      <c r="B2" s="0" t="str">
        <f aca="false">IFERROR(__xludf.dummyfunction("""COMPUTED_VALUE"""),"Анастасия")</f>
        <v>Анастасия</v>
      </c>
      <c r="C2" s="0" t="n">
        <f aca="false">IFERROR(__xludf.dummyfunction("""COMPUTED_VALUE"""),10)</f>
        <v>10</v>
      </c>
      <c r="D2" s="0" t="n">
        <f aca="false">IFERROR(__xludf.dummyfunction("""COMPUTED_VALUE"""),149)</f>
        <v>149</v>
      </c>
      <c r="E2" s="12" t="str">
        <f aca="false">IFERROR(__xludf.dummyfunction("filter(SORT('Переформатированный ответ'!I2:I200,'Переформатированный ответ'!$I$2:$I$200,TRUE,'Переформатированный ответ'!$B$2:$B$200,TRUE),SORT('Переформатированный ответ'!O2:O200,'Переформатированный ответ'!$I$2:$I$200,TRUE,'Переформатированный ответ'!$B"&amp;"$2:$B$200,TRUE) &gt; -1,SORT('Переформатированный ответ'!I2:I200,'Переформатированный ответ'!$I$2:$I$200,TRUE,'Переформатированный ответ'!$B$2:$B$200,TRUE) &lt;&gt; ""Меня не будет в это время"")"),"Зачем нужна филология?")</f>
        <v>Зачем нужна филология?</v>
      </c>
      <c r="F2" s="1" t="n">
        <f aca="false">FALSE()</f>
        <v>0</v>
      </c>
      <c r="G2" s="1" t="n">
        <f aca="false">FALSE()</f>
        <v>0</v>
      </c>
      <c r="H2" s="1" t="n">
        <f aca="false">FALSE()</f>
        <v>0</v>
      </c>
      <c r="I2" s="1" t="n">
        <f aca="false">FALSE()</f>
        <v>0</v>
      </c>
      <c r="J2" s="1" t="n">
        <f aca="false">FALSE()</f>
        <v>0</v>
      </c>
      <c r="K2" s="0" t="n">
        <f aca="false">IFERROR(__xludf.dummyfunction("filter(SORT(ARRAYFORMULA(ROW('Переформатированный ответ'!I2:I200)),'Переформатированный ответ'!$I$2:$I$200,TRUE,'Переформатированный ответ'!$B$2:$B$200,TRUE),SORT('Переформатированный ответ'!O2:O200,'Переформатированный ответ'!$I$2:$I$200,TRUE,'Переформат"&amp;"ированный ответ'!$B$2:$B$200,TRUE) &gt; -1,SORT('Переформатированный ответ'!I2:I200,'Переформатированный ответ'!$I$2:$I$200,TRUE,'Переформатированный ответ'!$B$2:$B$200,TRUE) &lt;&gt; ""Меня не будет в это время"")"),162)</f>
        <v>162</v>
      </c>
      <c r="O2" s="0" t="str">
        <f aca="false">IFERROR(__xludf.dummyfunction("UNIQUE(E2:E200)"),"Зачем нужна филология?")</f>
        <v>Зачем нужна филология?</v>
      </c>
    </row>
    <row r="3" customFormat="false" ht="15.75" hidden="false" customHeight="false" outlineLevel="0" collapsed="false">
      <c r="A3" s="0" t="str">
        <f aca="false">IFERROR(__xludf.dummyfunction("""COMPUTED_VALUE"""),"Гуртовенко")</f>
        <v>Гуртовенко</v>
      </c>
      <c r="B3" s="0" t="str">
        <f aca="false">IFERROR(__xludf.dummyfunction("""COMPUTED_VALUE"""),"Юлия")</f>
        <v>Юлия</v>
      </c>
      <c r="C3" s="0" t="n">
        <f aca="false">IFERROR(__xludf.dummyfunction("""COMPUTED_VALUE"""),9)</f>
        <v>9</v>
      </c>
      <c r="D3" s="0" t="n">
        <f aca="false">IFERROR(__xludf.dummyfunction("""COMPUTED_VALUE"""),117)</f>
        <v>117</v>
      </c>
      <c r="E3" s="12" t="str">
        <f aca="false">IFERROR(__xludf.dummyfunction("""COMPUTED_VALUE"""),"Зачем нужна филология?")</f>
        <v>Зачем нужна филология?</v>
      </c>
      <c r="F3" s="1" t="n">
        <f aca="false">TRUE()</f>
        <v>1</v>
      </c>
      <c r="G3" s="1" t="n">
        <f aca="false">TRUE()</f>
        <v>1</v>
      </c>
      <c r="H3" s="1" t="n">
        <f aca="false">TRUE()</f>
        <v>1</v>
      </c>
      <c r="I3" s="1" t="n">
        <f aca="false">TRUE()</f>
        <v>1</v>
      </c>
      <c r="J3" s="1" t="n">
        <f aca="false">FALSE()</f>
        <v>0</v>
      </c>
      <c r="K3" s="0" t="n">
        <f aca="false">IFERROR(__xludf.dummyfunction("""COMPUTED_VALUE"""),29)</f>
        <v>29</v>
      </c>
      <c r="O3" s="0" t="str">
        <f aca="false">IFERROR(__xludf.dummyfunction("""COMPUTED_VALUE"""),"Мобильный геймдев (первая часть)")</f>
        <v>Мобильный геймдев (первая часть)</v>
      </c>
    </row>
    <row r="4" customFormat="false" ht="15.75" hidden="false" customHeight="false" outlineLevel="0" collapsed="false">
      <c r="A4" s="0" t="str">
        <f aca="false">IFERROR(__xludf.dummyfunction("""COMPUTED_VALUE"""),"Добролежа")</f>
        <v>Добролежа</v>
      </c>
      <c r="B4" s="0" t="str">
        <f aca="false">IFERROR(__xludf.dummyfunction("""COMPUTED_VALUE"""),"Олеся")</f>
        <v>Олеся</v>
      </c>
      <c r="C4" s="0" t="n">
        <f aca="false">IFERROR(__xludf.dummyfunction("""COMPUTED_VALUE"""),7)</f>
        <v>7</v>
      </c>
      <c r="D4" s="0" t="n">
        <f aca="false">IFERROR(__xludf.dummyfunction("""COMPUTED_VALUE"""),140)</f>
        <v>140</v>
      </c>
      <c r="E4" s="12" t="str">
        <f aca="false">IFERROR(__xludf.dummyfunction("""COMPUTED_VALUE"""),"Зачем нужна филология?")</f>
        <v>Зачем нужна филология?</v>
      </c>
      <c r="F4" s="1" t="n">
        <f aca="false">TRUE()</f>
        <v>1</v>
      </c>
      <c r="G4" s="1" t="n">
        <f aca="false">TRUE()</f>
        <v>1</v>
      </c>
      <c r="H4" s="1" t="n">
        <f aca="false">TRUE()</f>
        <v>1</v>
      </c>
      <c r="I4" s="1" t="n">
        <f aca="false">TRUE()</f>
        <v>1</v>
      </c>
      <c r="J4" s="1" t="n">
        <f aca="false">TRUE()</f>
        <v>1</v>
      </c>
      <c r="K4" s="0" t="n">
        <f aca="false">IFERROR(__xludf.dummyfunction("""COMPUTED_VALUE"""),113)</f>
        <v>113</v>
      </c>
      <c r="M4" s="34" t="s">
        <v>787</v>
      </c>
      <c r="O4" s="0" t="str">
        <f aca="false">IFERROR(__xludf.dummyfunction("""COMPUTED_VALUE"""),"Не совсем наивная алгебра")</f>
        <v>Не совсем наивная алгебра</v>
      </c>
    </row>
    <row r="5" customFormat="false" ht="15.75" hidden="false" customHeight="false" outlineLevel="0" collapsed="false">
      <c r="A5" s="0" t="str">
        <f aca="false">IFERROR(__xludf.dummyfunction("""COMPUTED_VALUE"""),"Долгова")</f>
        <v>Долгова</v>
      </c>
      <c r="B5" s="0" t="str">
        <f aca="false">IFERROR(__xludf.dummyfunction("""COMPUTED_VALUE"""),"Анна")</f>
        <v>Анна</v>
      </c>
      <c r="C5" s="0" t="n">
        <f aca="false">IFERROR(__xludf.dummyfunction("""COMPUTED_VALUE"""),9)</f>
        <v>9</v>
      </c>
      <c r="D5" s="0" t="n">
        <f aca="false">IFERROR(__xludf.dummyfunction("""COMPUTED_VALUE"""),117)</f>
        <v>117</v>
      </c>
      <c r="E5" s="12" t="str">
        <f aca="false">IFERROR(__xludf.dummyfunction("""COMPUTED_VALUE"""),"Зачем нужна филология?")</f>
        <v>Зачем нужна филология?</v>
      </c>
      <c r="F5" s="1" t="n">
        <f aca="false">TRUE()</f>
        <v>1</v>
      </c>
      <c r="G5" s="1" t="n">
        <f aca="false">TRUE()</f>
        <v>1</v>
      </c>
      <c r="H5" s="1" t="n">
        <f aca="false">TRUE()</f>
        <v>1</v>
      </c>
      <c r="I5" s="1" t="n">
        <f aca="false">FALSE()</f>
        <v>0</v>
      </c>
      <c r="J5" s="1" t="n">
        <f aca="false">FALSE()</f>
        <v>0</v>
      </c>
      <c r="K5" s="0" t="n">
        <f aca="false">IFERROR(__xludf.dummyfunction("""COMPUTED_VALUE"""),81)</f>
        <v>81</v>
      </c>
      <c r="O5" s="0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</row>
    <row r="6" customFormat="false" ht="15.75" hidden="false" customHeight="false" outlineLevel="0" collapsed="false">
      <c r="A6" s="0" t="str">
        <f aca="false">IFERROR(__xludf.dummyfunction("""COMPUTED_VALUE"""),"Каныгина")</f>
        <v>Каныгина</v>
      </c>
      <c r="B6" s="0" t="str">
        <f aca="false">IFERROR(__xludf.dummyfunction("""COMPUTED_VALUE"""),"Милана")</f>
        <v>Милана</v>
      </c>
      <c r="C6" s="0" t="n">
        <f aca="false">IFERROR(__xludf.dummyfunction("""COMPUTED_VALUE"""),11)</f>
        <v>11</v>
      </c>
      <c r="D6" s="0" t="n">
        <f aca="false">IFERROR(__xludf.dummyfunction("""COMPUTED_VALUE"""),62)</f>
        <v>62</v>
      </c>
      <c r="E6" s="12" t="str">
        <f aca="false">IFERROR(__xludf.dummyfunction("""COMPUTED_VALUE"""),"Зачем нужна филология?")</f>
        <v>Зачем нужна филология?</v>
      </c>
      <c r="F6" s="1" t="n">
        <f aca="false">FALSE()</f>
        <v>0</v>
      </c>
      <c r="G6" s="1" t="n">
        <f aca="false">FALSE()</f>
        <v>0</v>
      </c>
      <c r="H6" s="1" t="n">
        <f aca="false">FALSE()</f>
        <v>0</v>
      </c>
      <c r="I6" s="1" t="n">
        <f aca="false">TRUE()</f>
        <v>1</v>
      </c>
      <c r="J6" s="1" t="n">
        <f aca="false">TRUE()</f>
        <v>1</v>
      </c>
      <c r="K6" s="0" t="n">
        <f aca="false">IFERROR(__xludf.dummyfunction("""COMPUTED_VALUE"""),10)</f>
        <v>10</v>
      </c>
      <c r="O6" s="0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</row>
    <row r="7" customFormat="false" ht="15.75" hidden="false" customHeight="false" outlineLevel="0" collapsed="false">
      <c r="A7" s="0" t="str">
        <f aca="false">IFERROR(__xludf.dummyfunction("""COMPUTED_VALUE"""),"Климова ")</f>
        <v>Климова</v>
      </c>
      <c r="B7" s="0" t="str">
        <f aca="false">IFERROR(__xludf.dummyfunction("""COMPUTED_VALUE"""),"Анна")</f>
        <v>Анна</v>
      </c>
      <c r="C7" s="0" t="n">
        <f aca="false">IFERROR(__xludf.dummyfunction("""COMPUTED_VALUE"""),8)</f>
        <v>8</v>
      </c>
      <c r="D7" s="0" t="n">
        <f aca="false">IFERROR(__xludf.dummyfunction("""COMPUTED_VALUE"""),117)</f>
        <v>117</v>
      </c>
      <c r="E7" s="12" t="str">
        <f aca="false">IFERROR(__xludf.dummyfunction("""COMPUTED_VALUE"""),"Зачем нужна филология?")</f>
        <v>Зачем нужна филология?</v>
      </c>
      <c r="F7" s="1" t="n">
        <f aca="false">TRUE()</f>
        <v>1</v>
      </c>
      <c r="G7" s="1" t="n">
        <f aca="false">TRUE()</f>
        <v>1</v>
      </c>
      <c r="H7" s="1" t="n">
        <f aca="false">TRUE()</f>
        <v>1</v>
      </c>
      <c r="I7" s="1" t="n">
        <f aca="false">TRUE()</f>
        <v>1</v>
      </c>
      <c r="J7" s="1" t="n">
        <f aca="false">TRUE()</f>
        <v>1</v>
      </c>
      <c r="K7" s="0" t="n">
        <f aca="false">IFERROR(__xludf.dummyfunction("""COMPUTED_VALUE"""),154)</f>
        <v>154</v>
      </c>
      <c r="O7" s="0" t="str">
        <f aca="false">IFERROR(__xludf.dummyfunction("""COMPUTED_VALUE"""),"Практическая психология")</f>
        <v>Практическая психология</v>
      </c>
    </row>
    <row r="8" customFormat="false" ht="15.75" hidden="false" customHeight="false" outlineLevel="0" collapsed="false">
      <c r="A8" s="0" t="str">
        <f aca="false">IFERROR(__xludf.dummyfunction("""COMPUTED_VALUE"""),"Ладынская")</f>
        <v>Ладынская</v>
      </c>
      <c r="B8" s="0" t="str">
        <f aca="false">IFERROR(__xludf.dummyfunction("""COMPUTED_VALUE"""),"Дарья")</f>
        <v>Дарья</v>
      </c>
      <c r="C8" s="0" t="n">
        <f aca="false">IFERROR(__xludf.dummyfunction("""COMPUTED_VALUE"""),8)</f>
        <v>8</v>
      </c>
      <c r="D8" s="0" t="n">
        <f aca="false">IFERROR(__xludf.dummyfunction("""COMPUTED_VALUE"""),36)</f>
        <v>36</v>
      </c>
      <c r="E8" s="12" t="str">
        <f aca="false">IFERROR(__xludf.dummyfunction("""COMPUTED_VALUE"""),"Зачем нужна филология?")</f>
        <v>Зачем нужна филология?</v>
      </c>
      <c r="F8" s="1" t="n">
        <f aca="false">TRUE()</f>
        <v>1</v>
      </c>
      <c r="G8" s="1" t="n">
        <f aca="false">TRUE()</f>
        <v>1</v>
      </c>
      <c r="H8" s="1" t="n">
        <f aca="false">TRUE()</f>
        <v>1</v>
      </c>
      <c r="I8" s="1" t="n">
        <f aca="false">TRUE()</f>
        <v>1</v>
      </c>
      <c r="J8" s="1" t="n">
        <f aca="false">TRUE()</f>
        <v>1</v>
      </c>
      <c r="K8" s="0" t="n">
        <f aca="false">IFERROR(__xludf.dummyfunction("""COMPUTED_VALUE"""),123)</f>
        <v>123</v>
      </c>
      <c r="O8" s="0" t="str">
        <f aca="false">IFERROR(__xludf.dummyfunction("""COMPUTED_VALUE"""),"Прикладное право")</f>
        <v>Прикладное право</v>
      </c>
    </row>
    <row r="9" customFormat="false" ht="15.75" hidden="false" customHeight="false" outlineLevel="0" collapsed="false">
      <c r="A9" s="0" t="str">
        <f aca="false">IFERROR(__xludf.dummyfunction("""COMPUTED_VALUE"""),"Локтионова")</f>
        <v>Локтионова</v>
      </c>
      <c r="B9" s="0" t="str">
        <f aca="false">IFERROR(__xludf.dummyfunction("""COMPUTED_VALUE"""),"Даниэла")</f>
        <v>Даниэла</v>
      </c>
      <c r="C9" s="0" t="n">
        <f aca="false">IFERROR(__xludf.dummyfunction("""COMPUTED_VALUE"""),10)</f>
        <v>10</v>
      </c>
      <c r="D9" s="0" t="n">
        <f aca="false">IFERROR(__xludf.dummyfunction("""COMPUTED_VALUE"""),64)</f>
        <v>64</v>
      </c>
      <c r="E9" s="12" t="str">
        <f aca="false">IFERROR(__xludf.dummyfunction("""COMPUTED_VALUE"""),"Зачем нужна филология?")</f>
        <v>Зачем нужна филология?</v>
      </c>
      <c r="F9" s="1" t="n">
        <f aca="false">TRUE()</f>
        <v>1</v>
      </c>
      <c r="G9" s="1" t="n">
        <f aca="false">TRUE()</f>
        <v>1</v>
      </c>
      <c r="H9" s="1" t="n">
        <f aca="false">FALSE()</f>
        <v>0</v>
      </c>
      <c r="I9" s="1" t="n">
        <f aca="false">TRUE()</f>
        <v>1</v>
      </c>
      <c r="J9" s="1" t="n">
        <f aca="false">FALSE()</f>
        <v>0</v>
      </c>
      <c r="K9" s="0" t="n">
        <f aca="false">IFERROR(__xludf.dummyfunction("""COMPUTED_VALUE"""),67)</f>
        <v>67</v>
      </c>
      <c r="O9" s="0" t="str">
        <f aca="false">IFERROR(__xludf.dummyfunction("""COMPUTED_VALUE"""),"Теория потребителя")</f>
        <v>Теория потребителя</v>
      </c>
    </row>
    <row r="10" customFormat="false" ht="15.75" hidden="false" customHeight="false" outlineLevel="0" collapsed="false">
      <c r="A10" s="0" t="str">
        <f aca="false">IFERROR(__xludf.dummyfunction("""COMPUTED_VALUE"""),"Мокиенко ")</f>
        <v>Мокиенко</v>
      </c>
      <c r="B10" s="0" t="str">
        <f aca="false">IFERROR(__xludf.dummyfunction("""COMPUTED_VALUE"""),"Ксения")</f>
        <v>Ксения</v>
      </c>
      <c r="C10" s="0" t="n">
        <f aca="false">IFERROR(__xludf.dummyfunction("""COMPUTED_VALUE"""),9)</f>
        <v>9</v>
      </c>
      <c r="D10" s="0" t="n">
        <f aca="false">IFERROR(__xludf.dummyfunction("""COMPUTED_VALUE"""),117)</f>
        <v>117</v>
      </c>
      <c r="E10" s="12" t="str">
        <f aca="false">IFERROR(__xludf.dummyfunction("""COMPUTED_VALUE"""),"Зачем нужна филология?")</f>
        <v>Зачем нужна филология?</v>
      </c>
      <c r="F10" s="1" t="n">
        <f aca="false">TRUE()</f>
        <v>1</v>
      </c>
      <c r="G10" s="1" t="n">
        <f aca="false">FALSE()</f>
        <v>0</v>
      </c>
      <c r="H10" s="1" t="n">
        <f aca="false">FALSE()</f>
        <v>0</v>
      </c>
      <c r="I10" s="1" t="n">
        <f aca="false">FALSE()</f>
        <v>0</v>
      </c>
      <c r="J10" s="1" t="n">
        <f aca="false">FALSE()</f>
        <v>0</v>
      </c>
      <c r="K10" s="0" t="n">
        <f aca="false">IFERROR(__xludf.dummyfunction("""COMPUTED_VALUE"""),139)</f>
        <v>139</v>
      </c>
      <c r="O10" s="0" t="str">
        <f aca="false">IFERROR(__xludf.dummyfunction("""COMPUTED_VALUE"""),"Физика и жизнь")</f>
        <v>Физика и жизнь</v>
      </c>
    </row>
    <row r="11" customFormat="false" ht="15.75" hidden="false" customHeight="false" outlineLevel="0" collapsed="false">
      <c r="A11" s="0" t="str">
        <f aca="false">IFERROR(__xludf.dummyfunction("""COMPUTED_VALUE"""),"Перевальская")</f>
        <v>Перевальская</v>
      </c>
      <c r="B11" s="0" t="str">
        <f aca="false">IFERROR(__xludf.dummyfunction("""COMPUTED_VALUE"""),"Алена")</f>
        <v>Алена</v>
      </c>
      <c r="C11" s="0" t="n">
        <f aca="false">IFERROR(__xludf.dummyfunction("""COMPUTED_VALUE"""),8)</f>
        <v>8</v>
      </c>
      <c r="D11" s="0" t="n">
        <f aca="false">IFERROR(__xludf.dummyfunction("""COMPUTED_VALUE"""),117)</f>
        <v>117</v>
      </c>
      <c r="E11" s="12" t="str">
        <f aca="false">IFERROR(__xludf.dummyfunction("""COMPUTED_VALUE"""),"Зачем нужна филология?")</f>
        <v>Зачем нужна филология?</v>
      </c>
      <c r="F11" s="1" t="n">
        <f aca="false">TRUE()</f>
        <v>1</v>
      </c>
      <c r="G11" s="1" t="n">
        <f aca="false">TRUE()</f>
        <v>1</v>
      </c>
      <c r="H11" s="1" t="n">
        <f aca="false">TRUE()</f>
        <v>1</v>
      </c>
      <c r="I11" s="1" t="n">
        <f aca="false">TRUE()</f>
        <v>1</v>
      </c>
      <c r="J11" s="1" t="n">
        <f aca="false">TRUE()</f>
        <v>1</v>
      </c>
      <c r="K11" s="0" t="n">
        <f aca="false">IFERROR(__xludf.dummyfunction("""COMPUTED_VALUE"""),157)</f>
        <v>157</v>
      </c>
    </row>
    <row r="12" customFormat="false" ht="15.75" hidden="false" customHeight="false" outlineLevel="0" collapsed="false">
      <c r="A12" s="0" t="str">
        <f aca="false">IFERROR(__xludf.dummyfunction("""COMPUTED_VALUE"""),"Ремизова")</f>
        <v>Ремизова</v>
      </c>
      <c r="B12" s="0" t="str">
        <f aca="false">IFERROR(__xludf.dummyfunction("""COMPUTED_VALUE"""),"Ульяна")</f>
        <v>Ульяна</v>
      </c>
      <c r="C12" s="0" t="n">
        <f aca="false">IFERROR(__xludf.dummyfunction("""COMPUTED_VALUE"""),8)</f>
        <v>8</v>
      </c>
      <c r="D12" s="0" t="n">
        <f aca="false">IFERROR(__xludf.dummyfunction("""COMPUTED_VALUE"""),117)</f>
        <v>117</v>
      </c>
      <c r="E12" s="12" t="str">
        <f aca="false">IFERROR(__xludf.dummyfunction("""COMPUTED_VALUE"""),"Зачем нужна филология?")</f>
        <v>Зачем нужна филология?</v>
      </c>
      <c r="F12" s="1" t="n">
        <f aca="false">TRUE()</f>
        <v>1</v>
      </c>
      <c r="G12" s="1" t="n">
        <f aca="false">TRUE()</f>
        <v>1</v>
      </c>
      <c r="H12" s="1" t="n">
        <f aca="false">TRUE()</f>
        <v>1</v>
      </c>
      <c r="I12" s="1" t="n">
        <f aca="false">FALSE()</f>
        <v>0</v>
      </c>
      <c r="J12" s="1" t="n">
        <f aca="false">FALSE()</f>
        <v>0</v>
      </c>
      <c r="K12" s="0" t="n">
        <f aca="false">IFERROR(__xludf.dummyfunction("""COMPUTED_VALUE"""),44)</f>
        <v>44</v>
      </c>
      <c r="M12" s="34" t="s">
        <v>788</v>
      </c>
    </row>
    <row r="13" customFormat="false" ht="15.75" hidden="false" customHeight="false" outlineLevel="0" collapsed="false">
      <c r="A13" s="0" t="str">
        <f aca="false">IFERROR(__xludf.dummyfunction("""COMPUTED_VALUE"""),"Савиных")</f>
        <v>Савиных</v>
      </c>
      <c r="B13" s="0" t="str">
        <f aca="false">IFERROR(__xludf.dummyfunction("""COMPUTED_VALUE"""),"Кристина")</f>
        <v>Кристина</v>
      </c>
      <c r="C13" s="0" t="n">
        <f aca="false">IFERROR(__xludf.dummyfunction("""COMPUTED_VALUE"""),9)</f>
        <v>9</v>
      </c>
      <c r="D13" s="0" t="n">
        <f aca="false">IFERROR(__xludf.dummyfunction("""COMPUTED_VALUE"""),139)</f>
        <v>139</v>
      </c>
      <c r="E13" s="12" t="str">
        <f aca="false">IFERROR(__xludf.dummyfunction("""COMPUTED_VALUE"""),"Зачем нужна филология?")</f>
        <v>Зачем нужна филология?</v>
      </c>
      <c r="F13" s="1" t="n">
        <f aca="false">TRUE()</f>
        <v>1</v>
      </c>
      <c r="G13" s="1" t="n">
        <f aca="false">TRUE()</f>
        <v>1</v>
      </c>
      <c r="H13" s="1" t="n">
        <f aca="false">TRUE()</f>
        <v>1</v>
      </c>
      <c r="I13" s="1" t="n">
        <f aca="false">TRUE()</f>
        <v>1</v>
      </c>
      <c r="J13" s="1" t="n">
        <f aca="false">TRUE()</f>
        <v>1</v>
      </c>
      <c r="K13" s="0" t="n">
        <f aca="false">IFERROR(__xludf.dummyfunction("""COMPUTED_VALUE"""),148)</f>
        <v>148</v>
      </c>
    </row>
    <row r="14" customFormat="false" ht="15.75" hidden="false" customHeight="false" outlineLevel="0" collapsed="false">
      <c r="A14" s="0" t="str">
        <f aca="false">IFERROR(__xludf.dummyfunction("""COMPUTED_VALUE"""),"Сидоров")</f>
        <v>Сидоров</v>
      </c>
      <c r="B14" s="0" t="str">
        <f aca="false">IFERROR(__xludf.dummyfunction("""COMPUTED_VALUE"""),"Никита")</f>
        <v>Никита</v>
      </c>
      <c r="C14" s="0" t="n">
        <f aca="false">IFERROR(__xludf.dummyfunction("""COMPUTED_VALUE"""),8)</f>
        <v>8</v>
      </c>
      <c r="D14" s="0" t="n">
        <f aca="false">IFERROR(__xludf.dummyfunction("""COMPUTED_VALUE"""),117)</f>
        <v>117</v>
      </c>
      <c r="E14" s="12" t="str">
        <f aca="false">IFERROR(__xludf.dummyfunction("""COMPUTED_VALUE"""),"Зачем нужна филология?")</f>
        <v>Зачем нужна филология?</v>
      </c>
      <c r="F14" s="1" t="n">
        <f aca="false">TRUE()</f>
        <v>1</v>
      </c>
      <c r="G14" s="1" t="n">
        <f aca="false">TRUE()</f>
        <v>1</v>
      </c>
      <c r="H14" s="1" t="n">
        <f aca="false">TRUE()</f>
        <v>1</v>
      </c>
      <c r="I14" s="1" t="n">
        <f aca="false">TRUE()</f>
        <v>1</v>
      </c>
      <c r="J14" s="1" t="n">
        <f aca="false">TRUE()</f>
        <v>1</v>
      </c>
      <c r="K14" s="0" t="n">
        <f aca="false">IFERROR(__xludf.dummyfunction("""COMPUTED_VALUE"""),70)</f>
        <v>70</v>
      </c>
    </row>
    <row r="15" customFormat="false" ht="15.75" hidden="false" customHeight="false" outlineLevel="0" collapsed="false">
      <c r="A15" s="0" t="str">
        <f aca="false">IFERROR(__xludf.dummyfunction("""COMPUTED_VALUE"""),"Сим")</f>
        <v>Сим</v>
      </c>
      <c r="B15" s="0" t="str">
        <f aca="false">IFERROR(__xludf.dummyfunction("""COMPUTED_VALUE"""),"Алина")</f>
        <v>Алина</v>
      </c>
      <c r="C15" s="0" t="n">
        <f aca="false">IFERROR(__xludf.dummyfunction("""COMPUTED_VALUE"""),8)</f>
        <v>8</v>
      </c>
      <c r="D15" s="0" t="n">
        <f aca="false">IFERROR(__xludf.dummyfunction("""COMPUTED_VALUE"""),117)</f>
        <v>117</v>
      </c>
      <c r="E15" s="12" t="str">
        <f aca="false">IFERROR(__xludf.dummyfunction("""COMPUTED_VALUE"""),"Зачем нужна филология?")</f>
        <v>Зачем нужна филология?</v>
      </c>
      <c r="F15" s="1" t="n">
        <f aca="false">FALSE()</f>
        <v>0</v>
      </c>
      <c r="G15" s="1" t="n">
        <f aca="false">FALSE()</f>
        <v>0</v>
      </c>
      <c r="H15" s="1" t="n">
        <f aca="false">FALSE()</f>
        <v>0</v>
      </c>
      <c r="I15" s="1" t="n">
        <f aca="false">FALSE()</f>
        <v>0</v>
      </c>
      <c r="J15" s="1" t="n">
        <f aca="false">FALSE()</f>
        <v>0</v>
      </c>
      <c r="K15" s="0" t="n">
        <f aca="false">IFERROR(__xludf.dummyfunction("""COMPUTED_VALUE"""),122)</f>
        <v>122</v>
      </c>
    </row>
    <row r="16" customFormat="false" ht="15.75" hidden="false" customHeight="false" outlineLevel="0" collapsed="false">
      <c r="A16" s="0" t="str">
        <f aca="false">IFERROR(__xludf.dummyfunction("""COMPUTED_VALUE"""),"Суханова")</f>
        <v>Суханова</v>
      </c>
      <c r="B16" s="0" t="str">
        <f aca="false">IFERROR(__xludf.dummyfunction("""COMPUTED_VALUE"""),"Алёна ")</f>
        <v>Алёна</v>
      </c>
      <c r="C16" s="0" t="n">
        <f aca="false">IFERROR(__xludf.dummyfunction("""COMPUTED_VALUE"""),7)</f>
        <v>7</v>
      </c>
      <c r="D16" s="0" t="n">
        <f aca="false">IFERROR(__xludf.dummyfunction("""COMPUTED_VALUE"""),140)</f>
        <v>140</v>
      </c>
      <c r="E16" s="12" t="str">
        <f aca="false">IFERROR(__xludf.dummyfunction("""COMPUTED_VALUE"""),"Зачем нужна филология?")</f>
        <v>Зачем нужна филология?</v>
      </c>
      <c r="F16" s="1" t="n">
        <f aca="false">TRUE()</f>
        <v>1</v>
      </c>
      <c r="G16" s="1" t="n">
        <f aca="false">TRUE()</f>
        <v>1</v>
      </c>
      <c r="H16" s="1" t="n">
        <f aca="false">FALSE()</f>
        <v>0</v>
      </c>
      <c r="I16" s="1" t="n">
        <f aca="false">TRUE()</f>
        <v>1</v>
      </c>
      <c r="J16" s="1" t="n">
        <f aca="false">TRUE()</f>
        <v>1</v>
      </c>
      <c r="K16" s="0" t="n">
        <f aca="false">IFERROR(__xludf.dummyfunction("""COMPUTED_VALUE"""),115)</f>
        <v>115</v>
      </c>
    </row>
    <row r="17" customFormat="false" ht="15.75" hidden="false" customHeight="false" outlineLevel="0" collapsed="false">
      <c r="A17" s="0" t="str">
        <f aca="false">IFERROR(__xludf.dummyfunction("""COMPUTED_VALUE"""),"Терехова")</f>
        <v>Терехова</v>
      </c>
      <c r="B17" s="0" t="str">
        <f aca="false">IFERROR(__xludf.dummyfunction("""COMPUTED_VALUE"""),"Мария")</f>
        <v>Мария</v>
      </c>
      <c r="C17" s="0" t="n">
        <f aca="false">IFERROR(__xludf.dummyfunction("""COMPUTED_VALUE"""),9)</f>
        <v>9</v>
      </c>
      <c r="D17" s="0" t="n">
        <f aca="false">IFERROR(__xludf.dummyfunction("""COMPUTED_VALUE"""),139)</f>
        <v>139</v>
      </c>
      <c r="E17" s="12" t="str">
        <f aca="false">IFERROR(__xludf.dummyfunction("""COMPUTED_VALUE"""),"Зачем нужна филология?")</f>
        <v>Зачем нужна филология?</v>
      </c>
      <c r="F17" s="1" t="n">
        <f aca="false">TRUE()</f>
        <v>1</v>
      </c>
      <c r="G17" s="1" t="n">
        <f aca="false">TRUE()</f>
        <v>1</v>
      </c>
      <c r="H17" s="1" t="n">
        <f aca="false">TRUE()</f>
        <v>1</v>
      </c>
      <c r="I17" s="1" t="n">
        <f aca="false">TRUE()</f>
        <v>1</v>
      </c>
      <c r="J17" s="1" t="n">
        <f aca="false">TRUE()</f>
        <v>1</v>
      </c>
      <c r="K17" s="0" t="n">
        <f aca="false">IFERROR(__xludf.dummyfunction("""COMPUTED_VALUE"""),48)</f>
        <v>48</v>
      </c>
    </row>
    <row r="18" customFormat="false" ht="15.75" hidden="false" customHeight="false" outlineLevel="0" collapsed="false">
      <c r="A18" s="0" t="str">
        <f aca="false">IFERROR(__xludf.dummyfunction("""COMPUTED_VALUE"""),"Устымчук")</f>
        <v>Устымчук</v>
      </c>
      <c r="B18" s="0" t="str">
        <f aca="false">IFERROR(__xludf.dummyfunction("""COMPUTED_VALUE"""),"Софья")</f>
        <v>Софья</v>
      </c>
      <c r="C18" s="0" t="n">
        <f aca="false">IFERROR(__xludf.dummyfunction("""COMPUTED_VALUE"""),9)</f>
        <v>9</v>
      </c>
      <c r="D18" s="0" t="n">
        <f aca="false">IFERROR(__xludf.dummyfunction("""COMPUTED_VALUE"""),74)</f>
        <v>74</v>
      </c>
      <c r="E18" s="12" t="str">
        <f aca="false">IFERROR(__xludf.dummyfunction("""COMPUTED_VALUE"""),"Зачем нужна филология?")</f>
        <v>Зачем нужна филология?</v>
      </c>
      <c r="F18" s="1" t="n">
        <f aca="false">FALSE()</f>
        <v>0</v>
      </c>
      <c r="G18" s="1" t="n">
        <f aca="false">FALSE()</f>
        <v>0</v>
      </c>
      <c r="H18" s="1" t="n">
        <f aca="false">FALSE()</f>
        <v>0</v>
      </c>
      <c r="I18" s="1" t="n">
        <f aca="false">FALSE()</f>
        <v>0</v>
      </c>
      <c r="J18" s="1" t="n">
        <f aca="false">FALSE()</f>
        <v>0</v>
      </c>
      <c r="K18" s="0" t="n">
        <f aca="false">IFERROR(__xludf.dummyfunction("""COMPUTED_VALUE"""),43)</f>
        <v>43</v>
      </c>
    </row>
    <row r="19" customFormat="false" ht="15.75" hidden="false" customHeight="false" outlineLevel="0" collapsed="false">
      <c r="A19" s="0" t="str">
        <f aca="false">IFERROR(__xludf.dummyfunction("""COMPUTED_VALUE"""),"Фазуллина")</f>
        <v>Фазуллина</v>
      </c>
      <c r="B19" s="0" t="str">
        <f aca="false">IFERROR(__xludf.dummyfunction("""COMPUTED_VALUE"""),"Яна")</f>
        <v>Яна</v>
      </c>
      <c r="C19" s="0" t="n">
        <f aca="false">IFERROR(__xludf.dummyfunction("""COMPUTED_VALUE"""),7)</f>
        <v>7</v>
      </c>
      <c r="D19" s="0" t="n">
        <f aca="false">IFERROR(__xludf.dummyfunction("""COMPUTED_VALUE"""),149)</f>
        <v>149</v>
      </c>
      <c r="E19" s="12" t="str">
        <f aca="false">IFERROR(__xludf.dummyfunction("""COMPUTED_VALUE"""),"Зачем нужна филология?")</f>
        <v>Зачем нужна филология?</v>
      </c>
      <c r="F19" s="1" t="n">
        <f aca="false">TRUE()</f>
        <v>1</v>
      </c>
      <c r="G19" s="1" t="n">
        <f aca="false">TRUE()</f>
        <v>1</v>
      </c>
      <c r="H19" s="1" t="n">
        <f aca="false">TRUE()</f>
        <v>1</v>
      </c>
      <c r="I19" s="1" t="n">
        <f aca="false">FALSE()</f>
        <v>0</v>
      </c>
      <c r="J19" s="1" t="n">
        <f aca="false">FALSE()</f>
        <v>0</v>
      </c>
      <c r="K19" s="0" t="n">
        <f aca="false">IFERROR(__xludf.dummyfunction("""COMPUTED_VALUE"""),129)</f>
        <v>129</v>
      </c>
      <c r="M19" s="12" t="str">
        <f aca="false">IF(COUNTIF('Переформатированный ответ'!Q2:U200,TRUE()) &lt; COUNTIF(F2:J200,TRUE()),"Не загружено",IF(COUNTIF('Переформатированный ответ'!Q2:U200,TRUE()) = COUNTIF(F2:J200,TRUE()),"Загружено","Пиздец"))</f>
        <v>Загружено</v>
      </c>
    </row>
    <row r="20" customFormat="false" ht="15.75" hidden="false" customHeight="false" outlineLevel="0" collapsed="false">
      <c r="A20" s="0" t="str">
        <f aca="false">IFERROR(__xludf.dummyfunction("""COMPUTED_VALUE"""),"Ходарина")</f>
        <v>Ходарина</v>
      </c>
      <c r="B20" s="0" t="str">
        <f aca="false">IFERROR(__xludf.dummyfunction("""COMPUTED_VALUE"""),"Алина")</f>
        <v>Алина</v>
      </c>
      <c r="C20" s="0" t="n">
        <f aca="false">IFERROR(__xludf.dummyfunction("""COMPUTED_VALUE"""),11)</f>
        <v>11</v>
      </c>
      <c r="D20" s="0" t="n">
        <f aca="false">IFERROR(__xludf.dummyfunction("""COMPUTED_VALUE"""),149)</f>
        <v>149</v>
      </c>
      <c r="E20" s="12" t="str">
        <f aca="false">IFERROR(__xludf.dummyfunction("""COMPUTED_VALUE"""),"Зачем нужна филология?")</f>
        <v>Зачем нужна филология?</v>
      </c>
      <c r="F20" s="1" t="n">
        <f aca="false">TRUE()</f>
        <v>1</v>
      </c>
      <c r="G20" s="1" t="n">
        <f aca="false">FALSE()</f>
        <v>0</v>
      </c>
      <c r="H20" s="1" t="n">
        <f aca="false">FALSE()</f>
        <v>0</v>
      </c>
      <c r="I20" s="1" t="n">
        <f aca="false">TRUE()</f>
        <v>1</v>
      </c>
      <c r="J20" s="1" t="n">
        <f aca="false">FALSE()</f>
        <v>0</v>
      </c>
      <c r="K20" s="0" t="n">
        <f aca="false">IFERROR(__xludf.dummyfunction("""COMPUTED_VALUE"""),94)</f>
        <v>94</v>
      </c>
    </row>
    <row r="21" customFormat="false" ht="15.75" hidden="false" customHeight="false" outlineLevel="0" collapsed="false">
      <c r="A21" s="0" t="str">
        <f aca="false">IFERROR(__xludf.dummyfunction("""COMPUTED_VALUE"""),"Хохлов ")</f>
        <v>Хохлов</v>
      </c>
      <c r="B21" s="0" t="str">
        <f aca="false">IFERROR(__xludf.dummyfunction("""COMPUTED_VALUE"""),"Александр")</f>
        <v>Александр</v>
      </c>
      <c r="C21" s="0" t="n">
        <f aca="false">IFERROR(__xludf.dummyfunction("""COMPUTED_VALUE"""),8)</f>
        <v>8</v>
      </c>
      <c r="D21" s="0" t="n">
        <f aca="false">IFERROR(__xludf.dummyfunction("""COMPUTED_VALUE"""),117)</f>
        <v>117</v>
      </c>
      <c r="E21" s="12" t="str">
        <f aca="false">IFERROR(__xludf.dummyfunction("""COMPUTED_VALUE"""),"Зачем нужна филология?")</f>
        <v>Зачем нужна филология?</v>
      </c>
      <c r="F21" s="1" t="n">
        <f aca="false">TRUE()</f>
        <v>1</v>
      </c>
      <c r="G21" s="1" t="n">
        <f aca="false">TRUE()</f>
        <v>1</v>
      </c>
      <c r="H21" s="1" t="n">
        <f aca="false">TRUE()</f>
        <v>1</v>
      </c>
      <c r="I21" s="1" t="n">
        <f aca="false">TRUE()</f>
        <v>1</v>
      </c>
      <c r="J21" s="1" t="n">
        <f aca="false">TRUE()</f>
        <v>1</v>
      </c>
      <c r="K21" s="0" t="n">
        <f aca="false">IFERROR(__xludf.dummyfunction("""COMPUTED_VALUE"""),87)</f>
        <v>87</v>
      </c>
    </row>
    <row r="22" customFormat="false" ht="15.75" hidden="false" customHeight="false" outlineLevel="0" collapsed="false">
      <c r="A22" s="0" t="str">
        <f aca="false">IFERROR(__xludf.dummyfunction("""COMPUTED_VALUE"""),"Шмалько")</f>
        <v>Шмалько</v>
      </c>
      <c r="B22" s="0" t="str">
        <f aca="false">IFERROR(__xludf.dummyfunction("""COMPUTED_VALUE"""),"Михаил")</f>
        <v>Михаил</v>
      </c>
      <c r="C22" s="0" t="n">
        <f aca="false">IFERROR(__xludf.dummyfunction("""COMPUTED_VALUE"""),9)</f>
        <v>9</v>
      </c>
      <c r="D22" s="0" t="n">
        <f aca="false">IFERROR(__xludf.dummyfunction("""COMPUTED_VALUE"""),117)</f>
        <v>117</v>
      </c>
      <c r="E22" s="12" t="str">
        <f aca="false">IFERROR(__xludf.dummyfunction("""COMPUTED_VALUE"""),"Зачем нужна филология?")</f>
        <v>Зачем нужна филология?</v>
      </c>
      <c r="F22" s="1" t="n">
        <f aca="false">FALSE()</f>
        <v>0</v>
      </c>
      <c r="G22" s="1" t="n">
        <f aca="false">TRUE()</f>
        <v>1</v>
      </c>
      <c r="H22" s="1" t="n">
        <f aca="false">TRUE()</f>
        <v>1</v>
      </c>
      <c r="I22" s="1" t="n">
        <f aca="false">TRUE()</f>
        <v>1</v>
      </c>
      <c r="J22" s="1" t="n">
        <f aca="false">FALSE()</f>
        <v>0</v>
      </c>
      <c r="K22" s="0" t="n">
        <f aca="false">IFERROR(__xludf.dummyfunction("""COMPUTED_VALUE"""),31)</f>
        <v>31</v>
      </c>
    </row>
    <row r="23" customFormat="false" ht="15.75" hidden="false" customHeight="false" outlineLevel="0" collapsed="false">
      <c r="A23" s="0" t="str">
        <f aca="false">IFERROR(__xludf.dummyfunction("""COMPUTED_VALUE"""),"Артамонов")</f>
        <v>Артамонов</v>
      </c>
      <c r="B23" s="0" t="str">
        <f aca="false">IFERROR(__xludf.dummyfunction("""COMPUTED_VALUE"""),"Виктор")</f>
        <v>Виктор</v>
      </c>
      <c r="C23" s="0" t="n">
        <f aca="false">IFERROR(__xludf.dummyfunction("""COMPUTED_VALUE"""),11)</f>
        <v>11</v>
      </c>
      <c r="D23" s="0" t="n">
        <f aca="false">IFERROR(__xludf.dummyfunction("""COMPUTED_VALUE"""),140)</f>
        <v>140</v>
      </c>
      <c r="E23" s="12" t="str">
        <f aca="false">IFERROR(__xludf.dummyfunction("""COMPUTED_VALUE"""),"Мобильный геймдев (первая часть)")</f>
        <v>Мобильный геймдев (первая часть)</v>
      </c>
      <c r="F23" s="1" t="n">
        <f aca="false">TRUE()</f>
        <v>1</v>
      </c>
      <c r="G23" s="1" t="n">
        <f aca="false">TRUE()</f>
        <v>1</v>
      </c>
      <c r="H23" s="1" t="n">
        <f aca="false">TRUE()</f>
        <v>1</v>
      </c>
      <c r="I23" s="1" t="n">
        <f aca="false">FALSE()</f>
        <v>0</v>
      </c>
      <c r="J23" s="1" t="n">
        <f aca="false">TRUE()</f>
        <v>1</v>
      </c>
      <c r="K23" s="0" t="n">
        <f aca="false">IFERROR(__xludf.dummyfunction("""COMPUTED_VALUE"""),173)</f>
        <v>173</v>
      </c>
    </row>
    <row r="24" customFormat="false" ht="15.75" hidden="false" customHeight="false" outlineLevel="0" collapsed="false">
      <c r="A24" s="0" t="str">
        <f aca="false">IFERROR(__xludf.dummyfunction("""COMPUTED_VALUE"""),"Винтер")</f>
        <v>Винтер</v>
      </c>
      <c r="B24" s="0" t="str">
        <f aca="false">IFERROR(__xludf.dummyfunction("""COMPUTED_VALUE"""),"Кирилл")</f>
        <v>Кирилл</v>
      </c>
      <c r="C24" s="0" t="n">
        <f aca="false">IFERROR(__xludf.dummyfunction("""COMPUTED_VALUE"""),8)</f>
        <v>8</v>
      </c>
      <c r="D24" s="0" t="n">
        <f aca="false">IFERROR(__xludf.dummyfunction("""COMPUTED_VALUE"""),117)</f>
        <v>117</v>
      </c>
      <c r="E24" s="12" t="str">
        <f aca="false">IFERROR(__xludf.dummyfunction("""COMPUTED_VALUE"""),"Мобильный геймдев (первая часть)")</f>
        <v>Мобильный геймдев (первая часть)</v>
      </c>
      <c r="F24" s="1" t="n">
        <f aca="false">TRUE()</f>
        <v>1</v>
      </c>
      <c r="G24" s="1" t="n">
        <f aca="false">TRUE()</f>
        <v>1</v>
      </c>
      <c r="H24" s="1" t="n">
        <f aca="false">TRUE()</f>
        <v>1</v>
      </c>
      <c r="I24" s="1" t="n">
        <f aca="false">TRUE()</f>
        <v>1</v>
      </c>
      <c r="J24" s="1" t="n">
        <f aca="false">TRUE()</f>
        <v>1</v>
      </c>
      <c r="K24" s="0" t="n">
        <f aca="false">IFERROR(__xludf.dummyfunction("""COMPUTED_VALUE"""),153)</f>
        <v>153</v>
      </c>
    </row>
    <row r="25" customFormat="false" ht="15.75" hidden="false" customHeight="false" outlineLevel="0" collapsed="false">
      <c r="A25" s="0" t="str">
        <f aca="false">IFERROR(__xludf.dummyfunction("""COMPUTED_VALUE"""),"Волченко")</f>
        <v>Волченко</v>
      </c>
      <c r="B25" s="0" t="str">
        <f aca="false">IFERROR(__xludf.dummyfunction("""COMPUTED_VALUE"""),"Вадим")</f>
        <v>Вадим</v>
      </c>
      <c r="C25" s="0" t="n">
        <f aca="false">IFERROR(__xludf.dummyfunction("""COMPUTED_VALUE"""),9)</f>
        <v>9</v>
      </c>
      <c r="D25" s="0" t="n">
        <f aca="false">IFERROR(__xludf.dummyfunction("""COMPUTED_VALUE"""),117)</f>
        <v>117</v>
      </c>
      <c r="E25" s="12" t="str">
        <f aca="false">IFERROR(__xludf.dummyfunction("""COMPUTED_VALUE"""),"Мобильный геймдев (первая часть)")</f>
        <v>Мобильный геймдев (первая часть)</v>
      </c>
      <c r="F25" s="1" t="n">
        <f aca="false">FALSE()</f>
        <v>0</v>
      </c>
      <c r="G25" s="1" t="n">
        <f aca="false">FALSE()</f>
        <v>0</v>
      </c>
      <c r="H25" s="1" t="n">
        <f aca="false">FALSE()</f>
        <v>0</v>
      </c>
      <c r="I25" s="1" t="n">
        <f aca="false">FALSE()</f>
        <v>0</v>
      </c>
      <c r="J25" s="1" t="n">
        <f aca="false">FALSE()</f>
        <v>0</v>
      </c>
      <c r="K25" s="0" t="n">
        <f aca="false">IFERROR(__xludf.dummyfunction("""COMPUTED_VALUE"""),141)</f>
        <v>141</v>
      </c>
    </row>
    <row r="26" customFormat="false" ht="15.75" hidden="false" customHeight="false" outlineLevel="0" collapsed="false">
      <c r="A26" s="0" t="str">
        <f aca="false">IFERROR(__xludf.dummyfunction("""COMPUTED_VALUE"""),"Измайлов")</f>
        <v>Измайлов</v>
      </c>
      <c r="B26" s="0" t="str">
        <f aca="false">IFERROR(__xludf.dummyfunction("""COMPUTED_VALUE"""),"Матвей")</f>
        <v>Матвей</v>
      </c>
      <c r="C26" s="0" t="n">
        <f aca="false">IFERROR(__xludf.dummyfunction("""COMPUTED_VALUE"""),10)</f>
        <v>10</v>
      </c>
      <c r="D26" s="0" t="n">
        <f aca="false">IFERROR(__xludf.dummyfunction("""COMPUTED_VALUE"""),64)</f>
        <v>64</v>
      </c>
      <c r="E26" s="12" t="str">
        <f aca="false">IFERROR(__xludf.dummyfunction("""COMPUTED_VALUE"""),"Мобильный геймдев (первая часть)")</f>
        <v>Мобильный геймдев (первая часть)</v>
      </c>
      <c r="F26" s="1" t="n">
        <f aca="false">FALSE()</f>
        <v>0</v>
      </c>
      <c r="G26" s="1" t="n">
        <f aca="false">TRUE()</f>
        <v>1</v>
      </c>
      <c r="H26" s="1" t="n">
        <f aca="false">TRUE()</f>
        <v>1</v>
      </c>
      <c r="I26" s="1" t="n">
        <f aca="false">TRUE()</f>
        <v>1</v>
      </c>
      <c r="J26" s="1" t="n">
        <f aca="false">FALSE()</f>
        <v>0</v>
      </c>
      <c r="K26" s="0" t="n">
        <f aca="false">IFERROR(__xludf.dummyfunction("""COMPUTED_VALUE"""),57)</f>
        <v>57</v>
      </c>
    </row>
    <row r="27" customFormat="false" ht="15.75" hidden="false" customHeight="false" outlineLevel="0" collapsed="false">
      <c r="A27" s="0" t="str">
        <f aca="false">IFERROR(__xludf.dummyfunction("""COMPUTED_VALUE"""),"Кожевников ")</f>
        <v>Кожевников</v>
      </c>
      <c r="B27" s="0" t="str">
        <f aca="false">IFERROR(__xludf.dummyfunction("""COMPUTED_VALUE"""),"Егор")</f>
        <v>Егор</v>
      </c>
      <c r="C27" s="0" t="n">
        <f aca="false">IFERROR(__xludf.dummyfunction("""COMPUTED_VALUE"""),8)</f>
        <v>8</v>
      </c>
      <c r="D27" s="0" t="n">
        <f aca="false">IFERROR(__xludf.dummyfunction("""COMPUTED_VALUE"""),66)</f>
        <v>66</v>
      </c>
      <c r="E27" s="12" t="str">
        <f aca="false">IFERROR(__xludf.dummyfunction("""COMPUTED_VALUE"""),"Мобильный геймдев (первая часть)")</f>
        <v>Мобильный геймдев (первая часть)</v>
      </c>
      <c r="F27" s="1" t="n">
        <f aca="false">TRUE()</f>
        <v>1</v>
      </c>
      <c r="G27" s="1" t="n">
        <f aca="false">TRUE()</f>
        <v>1</v>
      </c>
      <c r="H27" s="1" t="n">
        <f aca="false">TRUE()</f>
        <v>1</v>
      </c>
      <c r="I27" s="1" t="n">
        <f aca="false">TRUE()</f>
        <v>1</v>
      </c>
      <c r="J27" s="1" t="n">
        <f aca="false">TRUE()</f>
        <v>1</v>
      </c>
      <c r="K27" s="0" t="n">
        <f aca="false">IFERROR(__xludf.dummyfunction("""COMPUTED_VALUE"""),170)</f>
        <v>170</v>
      </c>
    </row>
    <row r="28" customFormat="false" ht="15.75" hidden="false" customHeight="false" outlineLevel="0" collapsed="false">
      <c r="A28" s="0" t="str">
        <f aca="false">IFERROR(__xludf.dummyfunction("""COMPUTED_VALUE"""),"Леонов")</f>
        <v>Леонов</v>
      </c>
      <c r="B28" s="0" t="str">
        <f aca="false">IFERROR(__xludf.dummyfunction("""COMPUTED_VALUE"""),"Иван")</f>
        <v>Иван</v>
      </c>
      <c r="C28" s="0" t="n">
        <f aca="false">IFERROR(__xludf.dummyfunction("""COMPUTED_VALUE"""),9)</f>
        <v>9</v>
      </c>
      <c r="D28" s="0" t="n">
        <f aca="false">IFERROR(__xludf.dummyfunction("""COMPUTED_VALUE"""),74)</f>
        <v>74</v>
      </c>
      <c r="E28" s="12" t="str">
        <f aca="false">IFERROR(__xludf.dummyfunction("""COMPUTED_VALUE"""),"Мобильный геймдев (первая часть)")</f>
        <v>Мобильный геймдев (первая часть)</v>
      </c>
      <c r="F28" s="1" t="n">
        <f aca="false">TRUE()</f>
        <v>1</v>
      </c>
      <c r="G28" s="1" t="n">
        <f aca="false">TRUE()</f>
        <v>1</v>
      </c>
      <c r="H28" s="1" t="n">
        <f aca="false">TRUE()</f>
        <v>1</v>
      </c>
      <c r="I28" s="1" t="n">
        <f aca="false">TRUE()</f>
        <v>1</v>
      </c>
      <c r="J28" s="1" t="n">
        <f aca="false">TRUE()</f>
        <v>1</v>
      </c>
      <c r="K28" s="0" t="n">
        <f aca="false">IFERROR(__xludf.dummyfunction("""COMPUTED_VALUE"""),161)</f>
        <v>161</v>
      </c>
    </row>
    <row r="29" customFormat="false" ht="15.75" hidden="false" customHeight="false" outlineLevel="0" collapsed="false">
      <c r="A29" s="0" t="str">
        <f aca="false">IFERROR(__xludf.dummyfunction("""COMPUTED_VALUE"""),"Лещенко")</f>
        <v>Лещенко</v>
      </c>
      <c r="B29" s="0" t="str">
        <f aca="false">IFERROR(__xludf.dummyfunction("""COMPUTED_VALUE"""),"Сергей")</f>
        <v>Сергей</v>
      </c>
      <c r="C29" s="0" t="n">
        <f aca="false">IFERROR(__xludf.dummyfunction("""COMPUTED_VALUE"""),9)</f>
        <v>9</v>
      </c>
      <c r="D29" s="0" t="n">
        <f aca="false">IFERROR(__xludf.dummyfunction("""COMPUTED_VALUE"""),117)</f>
        <v>117</v>
      </c>
      <c r="E29" s="12" t="str">
        <f aca="false">IFERROR(__xludf.dummyfunction("""COMPUTED_VALUE"""),"Мобильный геймдев (первая часть)")</f>
        <v>Мобильный геймдев (первая часть)</v>
      </c>
      <c r="F29" s="1" t="n">
        <f aca="false">TRUE()</f>
        <v>1</v>
      </c>
      <c r="G29" s="1" t="n">
        <f aca="false">FALSE()</f>
        <v>0</v>
      </c>
      <c r="H29" s="1" t="n">
        <f aca="false">FALSE()</f>
        <v>0</v>
      </c>
      <c r="I29" s="1" t="n">
        <f aca="false">FALSE()</f>
        <v>0</v>
      </c>
      <c r="J29" s="1" t="n">
        <f aca="false">FALSE()</f>
        <v>0</v>
      </c>
      <c r="K29" s="0" t="n">
        <f aca="false">IFERROR(__xludf.dummyfunction("""COMPUTED_VALUE"""),143)</f>
        <v>143</v>
      </c>
    </row>
    <row r="30" customFormat="false" ht="15.75" hidden="false" customHeight="false" outlineLevel="0" collapsed="false">
      <c r="A30" s="0" t="str">
        <f aca="false">IFERROR(__xludf.dummyfunction("""COMPUTED_VALUE"""),"Сычов")</f>
        <v>Сычов</v>
      </c>
      <c r="B30" s="0" t="str">
        <f aca="false">IFERROR(__xludf.dummyfunction("""COMPUTED_VALUE"""),"Семён")</f>
        <v>Семён</v>
      </c>
      <c r="C30" s="0" t="n">
        <f aca="false">IFERROR(__xludf.dummyfunction("""COMPUTED_VALUE"""),11)</f>
        <v>11</v>
      </c>
      <c r="D30" s="0" t="n">
        <f aca="false">IFERROR(__xludf.dummyfunction("""COMPUTED_VALUE"""),64)</f>
        <v>64</v>
      </c>
      <c r="E30" s="12" t="str">
        <f aca="false">IFERROR(__xludf.dummyfunction("""COMPUTED_VALUE"""),"Мобильный геймдев (первая часть)")</f>
        <v>Мобильный геймдев (первая часть)</v>
      </c>
      <c r="F30" s="1" t="n">
        <f aca="false">TRUE()</f>
        <v>1</v>
      </c>
      <c r="G30" s="1" t="n">
        <f aca="false">TRUE()</f>
        <v>1</v>
      </c>
      <c r="H30" s="1" t="n">
        <f aca="false">TRUE()</f>
        <v>1</v>
      </c>
      <c r="I30" s="1" t="n">
        <f aca="false">TRUE()</f>
        <v>1</v>
      </c>
      <c r="J30" s="1" t="n">
        <f aca="false">FALSE()</f>
        <v>0</v>
      </c>
      <c r="K30" s="0" t="n">
        <f aca="false">IFERROR(__xludf.dummyfunction("""COMPUTED_VALUE"""),172)</f>
        <v>172</v>
      </c>
    </row>
    <row r="31" customFormat="false" ht="15.75" hidden="false" customHeight="false" outlineLevel="0" collapsed="false">
      <c r="A31" s="0" t="str">
        <f aca="false">IFERROR(__xludf.dummyfunction("""COMPUTED_VALUE"""),"Шестаков")</f>
        <v>Шестаков</v>
      </c>
      <c r="B31" s="0" t="str">
        <f aca="false">IFERROR(__xludf.dummyfunction("""COMPUTED_VALUE"""),"Денис")</f>
        <v>Денис</v>
      </c>
      <c r="C31" s="0" t="n">
        <f aca="false">IFERROR(__xludf.dummyfunction("""COMPUTED_VALUE"""),10)</f>
        <v>10</v>
      </c>
      <c r="D31" s="0" t="n">
        <f aca="false">IFERROR(__xludf.dummyfunction("""COMPUTED_VALUE"""),64)</f>
        <v>64</v>
      </c>
      <c r="E31" s="12" t="str">
        <f aca="false">IFERROR(__xludf.dummyfunction("""COMPUTED_VALUE"""),"Мобильный геймдев (первая часть)")</f>
        <v>Мобильный геймдев (первая часть)</v>
      </c>
      <c r="F31" s="1" t="n">
        <f aca="false">TRUE()</f>
        <v>1</v>
      </c>
      <c r="G31" s="1" t="n">
        <f aca="false">TRUE()</f>
        <v>1</v>
      </c>
      <c r="H31" s="1" t="n">
        <f aca="false">TRUE()</f>
        <v>1</v>
      </c>
      <c r="I31" s="1" t="n">
        <f aca="false">TRUE()</f>
        <v>1</v>
      </c>
      <c r="J31" s="1" t="n">
        <f aca="false">TRUE()</f>
        <v>1</v>
      </c>
      <c r="K31" s="0" t="n">
        <f aca="false">IFERROR(__xludf.dummyfunction("""COMPUTED_VALUE"""),165)</f>
        <v>165</v>
      </c>
    </row>
    <row r="32" customFormat="false" ht="15.75" hidden="false" customHeight="false" outlineLevel="0" collapsed="false">
      <c r="A32" s="0" t="str">
        <f aca="false">IFERROR(__xludf.dummyfunction("""COMPUTED_VALUE"""),"Божко")</f>
        <v>Божко</v>
      </c>
      <c r="B32" s="0" t="str">
        <f aca="false">IFERROR(__xludf.dummyfunction("""COMPUTED_VALUE"""),"Роман")</f>
        <v>Роман</v>
      </c>
      <c r="C32" s="0" t="n">
        <f aca="false">IFERROR(__xludf.dummyfunction("""COMPUTED_VALUE"""),9)</f>
        <v>9</v>
      </c>
      <c r="D32" s="0" t="n">
        <f aca="false">IFERROR(__xludf.dummyfunction("""COMPUTED_VALUE"""),149)</f>
        <v>149</v>
      </c>
      <c r="E32" s="12" t="str">
        <f aca="false">IFERROR(__xludf.dummyfunction("""COMPUTED_VALUE"""),"Не совсем наивная алгебра")</f>
        <v>Не совсем наивная алгебра</v>
      </c>
      <c r="F32" s="1" t="n">
        <f aca="false">TRUE()</f>
        <v>1</v>
      </c>
      <c r="G32" s="1" t="n">
        <f aca="false">TRUE()</f>
        <v>1</v>
      </c>
      <c r="H32" s="1" t="n">
        <f aca="false">FALSE()</f>
        <v>0</v>
      </c>
      <c r="I32" s="1" t="n">
        <f aca="false">TRUE()</f>
        <v>1</v>
      </c>
      <c r="J32" s="1" t="n">
        <f aca="false">TRUE()</f>
        <v>1</v>
      </c>
      <c r="K32" s="0" t="n">
        <f aca="false">IFERROR(__xludf.dummyfunction("""COMPUTED_VALUE"""),131)</f>
        <v>131</v>
      </c>
    </row>
    <row r="33" customFormat="false" ht="15.75" hidden="false" customHeight="false" outlineLevel="0" collapsed="false">
      <c r="A33" s="0" t="str">
        <f aca="false">IFERROR(__xludf.dummyfunction("""COMPUTED_VALUE"""),"Божко")</f>
        <v>Божко</v>
      </c>
      <c r="B33" s="0" t="str">
        <f aca="false">IFERROR(__xludf.dummyfunction("""COMPUTED_VALUE"""),"Ксения")</f>
        <v>Ксения</v>
      </c>
      <c r="C33" s="0" t="n">
        <f aca="false">IFERROR(__xludf.dummyfunction("""COMPUTED_VALUE"""),8)</f>
        <v>8</v>
      </c>
      <c r="D33" s="0" t="n">
        <f aca="false">IFERROR(__xludf.dummyfunction("""COMPUTED_VALUE"""),7)</f>
        <v>7</v>
      </c>
      <c r="E33" s="12" t="str">
        <f aca="false">IFERROR(__xludf.dummyfunction("""COMPUTED_VALUE"""),"Не совсем наивная алгебра")</f>
        <v>Не совсем наивная алгебра</v>
      </c>
      <c r="F33" s="1" t="n">
        <f aca="false">TRUE()</f>
        <v>1</v>
      </c>
      <c r="G33" s="1" t="n">
        <f aca="false">FALSE()</f>
        <v>0</v>
      </c>
      <c r="H33" s="1" t="n">
        <f aca="false">FALSE()</f>
        <v>0</v>
      </c>
      <c r="I33" s="1" t="n">
        <f aca="false">FALSE()</f>
        <v>0</v>
      </c>
      <c r="J33" s="1" t="n">
        <f aca="false">FALSE()</f>
        <v>0</v>
      </c>
      <c r="K33" s="0" t="n">
        <f aca="false">IFERROR(__xludf.dummyfunction("""COMPUTED_VALUE"""),149)</f>
        <v>149</v>
      </c>
    </row>
    <row r="34" customFormat="false" ht="15.75" hidden="false" customHeight="false" outlineLevel="0" collapsed="false">
      <c r="A34" s="0" t="str">
        <f aca="false">IFERROR(__xludf.dummyfunction("""COMPUTED_VALUE"""),"Борисец ")</f>
        <v>Борисец</v>
      </c>
      <c r="B34" s="0" t="str">
        <f aca="false">IFERROR(__xludf.dummyfunction("""COMPUTED_VALUE"""),"Анастасия ")</f>
        <v>Анастасия</v>
      </c>
      <c r="C34" s="0" t="n">
        <f aca="false">IFERROR(__xludf.dummyfunction("""COMPUTED_VALUE"""),9)</f>
        <v>9</v>
      </c>
      <c r="D34" s="0" t="n">
        <f aca="false">IFERROR(__xludf.dummyfunction("""COMPUTED_VALUE"""),117)</f>
        <v>117</v>
      </c>
      <c r="E34" s="12" t="str">
        <f aca="false">IFERROR(__xludf.dummyfunction("""COMPUTED_VALUE"""),"Не совсем наивная алгебра")</f>
        <v>Не совсем наивная алгебра</v>
      </c>
      <c r="F34" s="1" t="n">
        <f aca="false">TRUE()</f>
        <v>1</v>
      </c>
      <c r="G34" s="1" t="n">
        <f aca="false">FALSE()</f>
        <v>0</v>
      </c>
      <c r="H34" s="1" t="n">
        <f aca="false">FALSE()</f>
        <v>0</v>
      </c>
      <c r="I34" s="1" t="n">
        <f aca="false">FALSE()</f>
        <v>0</v>
      </c>
      <c r="J34" s="1" t="n">
        <f aca="false">FALSE()</f>
        <v>0</v>
      </c>
      <c r="K34" s="0" t="n">
        <f aca="false">IFERROR(__xludf.dummyfunction("""COMPUTED_VALUE"""),3)</f>
        <v>3</v>
      </c>
    </row>
    <row r="35" customFormat="false" ht="15.75" hidden="false" customHeight="false" outlineLevel="0" collapsed="false">
      <c r="A35" s="0" t="str">
        <f aca="false">IFERROR(__xludf.dummyfunction("""COMPUTED_VALUE"""),"Волобуева")</f>
        <v>Волобуева</v>
      </c>
      <c r="B35" s="0" t="str">
        <f aca="false">IFERROR(__xludf.dummyfunction("""COMPUTED_VALUE"""),"Настя")</f>
        <v>Настя</v>
      </c>
      <c r="C35" s="0" t="n">
        <f aca="false">IFERROR(__xludf.dummyfunction("""COMPUTED_VALUE"""),10)</f>
        <v>10</v>
      </c>
      <c r="D35" s="0" t="n">
        <f aca="false">IFERROR(__xludf.dummyfunction("""COMPUTED_VALUE"""),104)</f>
        <v>104</v>
      </c>
      <c r="E35" s="12" t="str">
        <f aca="false">IFERROR(__xludf.dummyfunction("""COMPUTED_VALUE"""),"Не совсем наивная алгебра")</f>
        <v>Не совсем наивная алгебра</v>
      </c>
      <c r="F35" s="1" t="n">
        <f aca="false">TRUE()</f>
        <v>1</v>
      </c>
      <c r="G35" s="1" t="n">
        <f aca="false">TRUE()</f>
        <v>1</v>
      </c>
      <c r="H35" s="1" t="n">
        <f aca="false">TRUE()</f>
        <v>1</v>
      </c>
      <c r="I35" s="1" t="n">
        <f aca="false">TRUE()</f>
        <v>1</v>
      </c>
      <c r="J35" s="1" t="n">
        <f aca="false">TRUE()</f>
        <v>1</v>
      </c>
      <c r="K35" s="0" t="n">
        <f aca="false">IFERROR(__xludf.dummyfunction("""COMPUTED_VALUE"""),79)</f>
        <v>79</v>
      </c>
    </row>
    <row r="36" customFormat="false" ht="15.75" hidden="false" customHeight="false" outlineLevel="0" collapsed="false">
      <c r="A36" s="0" t="str">
        <f aca="false">IFERROR(__xludf.dummyfunction("""COMPUTED_VALUE"""),"Евстратенко")</f>
        <v>Евстратенко</v>
      </c>
      <c r="B36" s="0" t="str">
        <f aca="false">IFERROR(__xludf.dummyfunction("""COMPUTED_VALUE"""),"Екатерина")</f>
        <v>Екатерина</v>
      </c>
      <c r="C36" s="0" t="n">
        <f aca="false">IFERROR(__xludf.dummyfunction("""COMPUTED_VALUE"""),9)</f>
        <v>9</v>
      </c>
      <c r="D36" s="0" t="n">
        <f aca="false">IFERROR(__xludf.dummyfunction("""COMPUTED_VALUE"""),117)</f>
        <v>117</v>
      </c>
      <c r="E36" s="12" t="str">
        <f aca="false">IFERROR(__xludf.dummyfunction("""COMPUTED_VALUE"""),"Не совсем наивная алгебра")</f>
        <v>Не совсем наивная алгебра</v>
      </c>
      <c r="F36" s="1" t="n">
        <f aca="false">TRUE()</f>
        <v>1</v>
      </c>
      <c r="G36" s="1" t="n">
        <f aca="false">FALSE()</f>
        <v>0</v>
      </c>
      <c r="H36" s="1" t="n">
        <f aca="false">FALSE()</f>
        <v>0</v>
      </c>
      <c r="I36" s="1" t="n">
        <f aca="false">FALSE()</f>
        <v>0</v>
      </c>
      <c r="J36" s="1" t="n">
        <f aca="false">FALSE()</f>
        <v>0</v>
      </c>
      <c r="K36" s="0" t="n">
        <f aca="false">IFERROR(__xludf.dummyfunction("""COMPUTED_VALUE"""),136)</f>
        <v>136</v>
      </c>
    </row>
    <row r="37" customFormat="false" ht="15.75" hidden="false" customHeight="false" outlineLevel="0" collapsed="false">
      <c r="A37" s="0" t="str">
        <f aca="false">IFERROR(__xludf.dummyfunction("""COMPUTED_VALUE"""),"Жирнов")</f>
        <v>Жирнов</v>
      </c>
      <c r="B37" s="0" t="str">
        <f aca="false">IFERROR(__xludf.dummyfunction("""COMPUTED_VALUE"""),"Арсений")</f>
        <v>Арсений</v>
      </c>
      <c r="C37" s="0" t="n">
        <f aca="false">IFERROR(__xludf.dummyfunction("""COMPUTED_VALUE"""),9)</f>
        <v>9</v>
      </c>
      <c r="D37" s="0" t="n">
        <f aca="false">IFERROR(__xludf.dummyfunction("""COMPUTED_VALUE"""),149)</f>
        <v>149</v>
      </c>
      <c r="E37" s="12" t="str">
        <f aca="false">IFERROR(__xludf.dummyfunction("""COMPUTED_VALUE"""),"Не совсем наивная алгебра")</f>
        <v>Не совсем наивная алгебра</v>
      </c>
      <c r="F37" s="1" t="n">
        <f aca="false">TRUE()</f>
        <v>1</v>
      </c>
      <c r="G37" s="1" t="n">
        <f aca="false">TRUE()</f>
        <v>1</v>
      </c>
      <c r="H37" s="1" t="n">
        <f aca="false">FALSE()</f>
        <v>0</v>
      </c>
      <c r="I37" s="1" t="n">
        <f aca="false">FALSE()</f>
        <v>0</v>
      </c>
      <c r="J37" s="1" t="n">
        <f aca="false">FALSE()</f>
        <v>0</v>
      </c>
      <c r="K37" s="0" t="n">
        <f aca="false">IFERROR(__xludf.dummyfunction("""COMPUTED_VALUE"""),33)</f>
        <v>33</v>
      </c>
    </row>
    <row r="38" customFormat="false" ht="15.75" hidden="false" customHeight="false" outlineLevel="0" collapsed="false">
      <c r="A38" s="0" t="str">
        <f aca="false">IFERROR(__xludf.dummyfunction("""COMPUTED_VALUE"""),"Жунусов")</f>
        <v>Жунусов</v>
      </c>
      <c r="B38" s="0" t="str">
        <f aca="false">IFERROR(__xludf.dummyfunction("""COMPUTED_VALUE"""),"Евгений")</f>
        <v>Евгений</v>
      </c>
      <c r="C38" s="0" t="n">
        <f aca="false">IFERROR(__xludf.dummyfunction("""COMPUTED_VALUE"""),8)</f>
        <v>8</v>
      </c>
      <c r="D38" s="0" t="n">
        <f aca="false">IFERROR(__xludf.dummyfunction("""COMPUTED_VALUE"""),109)</f>
        <v>109</v>
      </c>
      <c r="E38" s="12" t="str">
        <f aca="false">IFERROR(__xludf.dummyfunction("""COMPUTED_VALUE"""),"Не совсем наивная алгебра")</f>
        <v>Не совсем наивная алгебра</v>
      </c>
      <c r="F38" s="1" t="n">
        <f aca="false">TRUE()</f>
        <v>1</v>
      </c>
      <c r="G38" s="1" t="n">
        <f aca="false">TRUE()</f>
        <v>1</v>
      </c>
      <c r="H38" s="1" t="n">
        <f aca="false">TRUE()</f>
        <v>1</v>
      </c>
      <c r="I38" s="1" t="n">
        <f aca="false">TRUE()</f>
        <v>1</v>
      </c>
      <c r="J38" s="1" t="n">
        <f aca="false">TRUE()</f>
        <v>1</v>
      </c>
      <c r="K38" s="0" t="n">
        <f aca="false">IFERROR(__xludf.dummyfunction("""COMPUTED_VALUE"""),156)</f>
        <v>156</v>
      </c>
    </row>
    <row r="39" customFormat="false" ht="15.75" hidden="false" customHeight="false" outlineLevel="0" collapsed="false">
      <c r="A39" s="0" t="str">
        <f aca="false">IFERROR(__xludf.dummyfunction("""COMPUTED_VALUE"""),"Задворнов ")</f>
        <v>Задворнов</v>
      </c>
      <c r="B39" s="0" t="str">
        <f aca="false">IFERROR(__xludf.dummyfunction("""COMPUTED_VALUE"""),"Славик")</f>
        <v>Славик</v>
      </c>
      <c r="C39" s="0" t="n">
        <f aca="false">IFERROR(__xludf.dummyfunction("""COMPUTED_VALUE"""),11)</f>
        <v>11</v>
      </c>
      <c r="D39" s="0" t="n">
        <f aca="false">IFERROR(__xludf.dummyfunction("""COMPUTED_VALUE"""),34)</f>
        <v>34</v>
      </c>
      <c r="E39" s="12" t="str">
        <f aca="false">IFERROR(__xludf.dummyfunction("""COMPUTED_VALUE"""),"Не совсем наивная алгебра")</f>
        <v>Не совсем наивная алгебра</v>
      </c>
      <c r="F39" s="1" t="n">
        <f aca="false">TRUE()</f>
        <v>1</v>
      </c>
      <c r="G39" s="1" t="n">
        <f aca="false">TRUE()</f>
        <v>1</v>
      </c>
      <c r="H39" s="1" t="n">
        <f aca="false">TRUE()</f>
        <v>1</v>
      </c>
      <c r="I39" s="1" t="n">
        <f aca="false">TRUE()</f>
        <v>1</v>
      </c>
      <c r="J39" s="1" t="n">
        <f aca="false">TRUE()</f>
        <v>1</v>
      </c>
      <c r="K39" s="0" t="n">
        <f aca="false">IFERROR(__xludf.dummyfunction("""COMPUTED_VALUE"""),14)</f>
        <v>14</v>
      </c>
    </row>
    <row r="40" customFormat="false" ht="15.75" hidden="false" customHeight="false" outlineLevel="0" collapsed="false">
      <c r="A40" s="0" t="str">
        <f aca="false">IFERROR(__xludf.dummyfunction("""COMPUTED_VALUE"""),"Зайцева")</f>
        <v>Зайцева</v>
      </c>
      <c r="B40" s="0" t="str">
        <f aca="false">IFERROR(__xludf.dummyfunction("""COMPUTED_VALUE"""),"Марина")</f>
        <v>Марина</v>
      </c>
      <c r="C40" s="0" t="n">
        <f aca="false">IFERROR(__xludf.dummyfunction("""COMPUTED_VALUE"""),9)</f>
        <v>9</v>
      </c>
      <c r="D40" s="0" t="n">
        <f aca="false">IFERROR(__xludf.dummyfunction("""COMPUTED_VALUE"""),149)</f>
        <v>149</v>
      </c>
      <c r="E40" s="12" t="str">
        <f aca="false">IFERROR(__xludf.dummyfunction("""COMPUTED_VALUE"""),"Не совсем наивная алгебра")</f>
        <v>Не совсем наивная алгебра</v>
      </c>
      <c r="F40" s="1" t="n">
        <f aca="false">TRUE()</f>
        <v>1</v>
      </c>
      <c r="G40" s="1" t="n">
        <f aca="false">TRUE()</f>
        <v>1</v>
      </c>
      <c r="H40" s="1" t="n">
        <f aca="false">TRUE()</f>
        <v>1</v>
      </c>
      <c r="I40" s="1" t="n">
        <f aca="false">TRUE()</f>
        <v>1</v>
      </c>
      <c r="J40" s="1" t="n">
        <f aca="false">FALSE()</f>
        <v>0</v>
      </c>
      <c r="K40" s="0" t="n">
        <f aca="false">IFERROR(__xludf.dummyfunction("""COMPUTED_VALUE"""),41)</f>
        <v>41</v>
      </c>
    </row>
    <row r="41" customFormat="false" ht="15.75" hidden="false" customHeight="false" outlineLevel="0" collapsed="false">
      <c r="A41" s="0" t="str">
        <f aca="false">IFERROR(__xludf.dummyfunction("""COMPUTED_VALUE"""),"Калиниченко ")</f>
        <v>Калиниченко</v>
      </c>
      <c r="B41" s="0" t="str">
        <f aca="false">IFERROR(__xludf.dummyfunction("""COMPUTED_VALUE"""),"Арсений")</f>
        <v>Арсений</v>
      </c>
      <c r="C41" s="0" t="n">
        <f aca="false">IFERROR(__xludf.dummyfunction("""COMPUTED_VALUE"""),10)</f>
        <v>10</v>
      </c>
      <c r="D41" s="0" t="n">
        <f aca="false">IFERROR(__xludf.dummyfunction("""COMPUTED_VALUE"""),51)</f>
        <v>51</v>
      </c>
      <c r="E41" s="12" t="str">
        <f aca="false">IFERROR(__xludf.dummyfunction("""COMPUTED_VALUE"""),"Не совсем наивная алгебра")</f>
        <v>Не совсем наивная алгебра</v>
      </c>
      <c r="F41" s="1" t="n">
        <f aca="false">TRUE()</f>
        <v>1</v>
      </c>
      <c r="G41" s="1" t="n">
        <f aca="false">TRUE()</f>
        <v>1</v>
      </c>
      <c r="H41" s="1" t="n">
        <f aca="false">TRUE()</f>
        <v>1</v>
      </c>
      <c r="I41" s="1" t="n">
        <f aca="false">TRUE()</f>
        <v>1</v>
      </c>
      <c r="J41" s="1" t="n">
        <f aca="false">TRUE()</f>
        <v>1</v>
      </c>
      <c r="K41" s="0" t="n">
        <f aca="false">IFERROR(__xludf.dummyfunction("""COMPUTED_VALUE"""),16)</f>
        <v>16</v>
      </c>
    </row>
    <row r="42" customFormat="false" ht="15.75" hidden="false" customHeight="false" outlineLevel="0" collapsed="false">
      <c r="A42" s="0" t="str">
        <f aca="false">IFERROR(__xludf.dummyfunction("""COMPUTED_VALUE"""),"Кочурова")</f>
        <v>Кочурова</v>
      </c>
      <c r="B42" s="0" t="str">
        <f aca="false">IFERROR(__xludf.dummyfunction("""COMPUTED_VALUE"""),"Елизавета")</f>
        <v>Елизавета</v>
      </c>
      <c r="C42" s="0" t="n">
        <f aca="false">IFERROR(__xludf.dummyfunction("""COMPUTED_VALUE"""),8)</f>
        <v>8</v>
      </c>
      <c r="D42" s="0" t="n">
        <f aca="false">IFERROR(__xludf.dummyfunction("""COMPUTED_VALUE"""),117)</f>
        <v>117</v>
      </c>
      <c r="E42" s="12" t="str">
        <f aca="false">IFERROR(__xludf.dummyfunction("""COMPUTED_VALUE"""),"Не совсем наивная алгебра")</f>
        <v>Не совсем наивная алгебра</v>
      </c>
      <c r="F42" s="1" t="n">
        <f aca="false">TRUE()</f>
        <v>1</v>
      </c>
      <c r="G42" s="1" t="n">
        <f aca="false">TRUE()</f>
        <v>1</v>
      </c>
      <c r="H42" s="1" t="n">
        <f aca="false">TRUE()</f>
        <v>1</v>
      </c>
      <c r="I42" s="1" t="n">
        <f aca="false">TRUE()</f>
        <v>1</v>
      </c>
      <c r="J42" s="1" t="n">
        <f aca="false">TRUE()</f>
        <v>1</v>
      </c>
      <c r="K42" s="0" t="n">
        <f aca="false">IFERROR(__xludf.dummyfunction("""COMPUTED_VALUE"""),59)</f>
        <v>59</v>
      </c>
    </row>
    <row r="43" customFormat="false" ht="15.75" hidden="false" customHeight="false" outlineLevel="0" collapsed="false">
      <c r="A43" s="0" t="str">
        <f aca="false">IFERROR(__xludf.dummyfunction("""COMPUTED_VALUE"""),"Кузин")</f>
        <v>Кузин</v>
      </c>
      <c r="B43" s="0" t="str">
        <f aca="false">IFERROR(__xludf.dummyfunction("""COMPUTED_VALUE"""),"Илья")</f>
        <v>Илья</v>
      </c>
      <c r="C43" s="0" t="n">
        <f aca="false">IFERROR(__xludf.dummyfunction("""COMPUTED_VALUE"""),11)</f>
        <v>11</v>
      </c>
      <c r="D43" s="0" t="n">
        <f aca="false">IFERROR(__xludf.dummyfunction("""COMPUTED_VALUE"""),149)</f>
        <v>149</v>
      </c>
      <c r="E43" s="12" t="str">
        <f aca="false">IFERROR(__xludf.dummyfunction("""COMPUTED_VALUE"""),"Не совсем наивная алгебра")</f>
        <v>Не совсем наивная алгебра</v>
      </c>
      <c r="F43" s="1" t="n">
        <f aca="false">TRUE()</f>
        <v>1</v>
      </c>
      <c r="G43" s="1" t="n">
        <f aca="false">TRUE()</f>
        <v>1</v>
      </c>
      <c r="H43" s="1" t="n">
        <f aca="false">FALSE()</f>
        <v>0</v>
      </c>
      <c r="I43" s="1" t="n">
        <f aca="false">TRUE()</f>
        <v>1</v>
      </c>
      <c r="J43" s="1" t="n">
        <f aca="false">TRUE()</f>
        <v>1</v>
      </c>
      <c r="K43" s="0" t="n">
        <f aca="false">IFERROR(__xludf.dummyfunction("""COMPUTED_VALUE"""),54)</f>
        <v>54</v>
      </c>
    </row>
    <row r="44" customFormat="false" ht="15.75" hidden="false" customHeight="false" outlineLevel="0" collapsed="false">
      <c r="A44" s="0" t="str">
        <f aca="false">IFERROR(__xludf.dummyfunction("""COMPUTED_VALUE"""),"Кузин ")</f>
        <v>Кузин</v>
      </c>
      <c r="B44" s="0" t="str">
        <f aca="false">IFERROR(__xludf.dummyfunction("""COMPUTED_VALUE"""),"Никита")</f>
        <v>Никита</v>
      </c>
      <c r="C44" s="0" t="n">
        <f aca="false">IFERROR(__xludf.dummyfunction("""COMPUTED_VALUE"""),11)</f>
        <v>11</v>
      </c>
      <c r="D44" s="0" t="n">
        <f aca="false">IFERROR(__xludf.dummyfunction("""COMPUTED_VALUE"""),149)</f>
        <v>149</v>
      </c>
      <c r="E44" s="12" t="str">
        <f aca="false">IFERROR(__xludf.dummyfunction("""COMPUTED_VALUE"""),"Не совсем наивная алгебра")</f>
        <v>Не совсем наивная алгебра</v>
      </c>
      <c r="F44" s="1" t="n">
        <f aca="false">TRUE()</f>
        <v>1</v>
      </c>
      <c r="G44" s="1" t="n">
        <f aca="false">FALSE()</f>
        <v>0</v>
      </c>
      <c r="H44" s="1" t="n">
        <f aca="false">TRUE()</f>
        <v>1</v>
      </c>
      <c r="I44" s="1" t="n">
        <f aca="false">TRUE()</f>
        <v>1</v>
      </c>
      <c r="J44" s="1" t="n">
        <f aca="false">TRUE()</f>
        <v>1</v>
      </c>
      <c r="K44" s="0" t="n">
        <f aca="false">IFERROR(__xludf.dummyfunction("""COMPUTED_VALUE"""),46)</f>
        <v>46</v>
      </c>
    </row>
    <row r="45" customFormat="false" ht="15.75" hidden="false" customHeight="false" outlineLevel="0" collapsed="false">
      <c r="A45" s="0" t="str">
        <f aca="false">IFERROR(__xludf.dummyfunction("""COMPUTED_VALUE"""),"Лапаницына")</f>
        <v>Лапаницына</v>
      </c>
      <c r="B45" s="0" t="str">
        <f aca="false">IFERROR(__xludf.dummyfunction("""COMPUTED_VALUE"""),"Анна")</f>
        <v>Анна</v>
      </c>
      <c r="C45" s="0" t="n">
        <f aca="false">IFERROR(__xludf.dummyfunction("""COMPUTED_VALUE"""),8)</f>
        <v>8</v>
      </c>
      <c r="D45" s="0" t="n">
        <f aca="false">IFERROR(__xludf.dummyfunction("""COMPUTED_VALUE"""),137)</f>
        <v>137</v>
      </c>
      <c r="E45" s="12" t="str">
        <f aca="false">IFERROR(__xludf.dummyfunction("""COMPUTED_VALUE"""),"Не совсем наивная алгебра")</f>
        <v>Не совсем наивная алгебра</v>
      </c>
      <c r="F45" s="1" t="n">
        <f aca="false">TRUE()</f>
        <v>1</v>
      </c>
      <c r="G45" s="1" t="n">
        <f aca="false">TRUE()</f>
        <v>1</v>
      </c>
      <c r="H45" s="1" t="n">
        <f aca="false">TRUE()</f>
        <v>1</v>
      </c>
      <c r="I45" s="1" t="n">
        <f aca="false">TRUE()</f>
        <v>1</v>
      </c>
      <c r="J45" s="1" t="n">
        <f aca="false">TRUE()</f>
        <v>1</v>
      </c>
      <c r="K45" s="0" t="n">
        <f aca="false">IFERROR(__xludf.dummyfunction("""COMPUTED_VALUE"""),100)</f>
        <v>100</v>
      </c>
    </row>
    <row r="46" customFormat="false" ht="15.75" hidden="false" customHeight="false" outlineLevel="0" collapsed="false">
      <c r="A46" s="0" t="str">
        <f aca="false">IFERROR(__xludf.dummyfunction("""COMPUTED_VALUE"""),"Линкер")</f>
        <v>Линкер</v>
      </c>
      <c r="B46" s="0" t="str">
        <f aca="false">IFERROR(__xludf.dummyfunction("""COMPUTED_VALUE"""),"Екатерина")</f>
        <v>Екатерина</v>
      </c>
      <c r="C46" s="0" t="n">
        <f aca="false">IFERROR(__xludf.dummyfunction("""COMPUTED_VALUE"""),8)</f>
        <v>8</v>
      </c>
      <c r="D46" s="0" t="n">
        <f aca="false">IFERROR(__xludf.dummyfunction("""COMPUTED_VALUE"""),137)</f>
        <v>137</v>
      </c>
      <c r="E46" s="12" t="str">
        <f aca="false">IFERROR(__xludf.dummyfunction("""COMPUTED_VALUE"""),"Не совсем наивная алгебра")</f>
        <v>Не совсем наивная алгебра</v>
      </c>
      <c r="F46" s="1" t="n">
        <f aca="false">TRUE()</f>
        <v>1</v>
      </c>
      <c r="G46" s="1" t="n">
        <f aca="false">TRUE()</f>
        <v>1</v>
      </c>
      <c r="H46" s="1" t="n">
        <f aca="false">TRUE()</f>
        <v>1</v>
      </c>
      <c r="I46" s="1" t="n">
        <f aca="false">TRUE()</f>
        <v>1</v>
      </c>
      <c r="J46" s="1" t="n">
        <f aca="false">TRUE()</f>
        <v>1</v>
      </c>
      <c r="K46" s="0" t="n">
        <f aca="false">IFERROR(__xludf.dummyfunction("""COMPUTED_VALUE"""),101)</f>
        <v>101</v>
      </c>
    </row>
    <row r="47" customFormat="false" ht="15.75" hidden="false" customHeight="false" outlineLevel="0" collapsed="false">
      <c r="A47" s="0" t="str">
        <f aca="false">IFERROR(__xludf.dummyfunction("""COMPUTED_VALUE"""),"Михель")</f>
        <v>Михель</v>
      </c>
      <c r="B47" s="0" t="str">
        <f aca="false">IFERROR(__xludf.dummyfunction("""COMPUTED_VALUE"""),"Сергей")</f>
        <v>Сергей</v>
      </c>
      <c r="C47" s="0" t="n">
        <f aca="false">IFERROR(__xludf.dummyfunction("""COMPUTED_VALUE"""),8)</f>
        <v>8</v>
      </c>
      <c r="D47" s="0" t="n">
        <f aca="false">IFERROR(__xludf.dummyfunction("""COMPUTED_VALUE"""),117)</f>
        <v>117</v>
      </c>
      <c r="E47" s="12" t="str">
        <f aca="false">IFERROR(__xludf.dummyfunction("""COMPUTED_VALUE"""),"Не совсем наивная алгебра")</f>
        <v>Не совсем наивная алгебра</v>
      </c>
      <c r="F47" s="1" t="n">
        <f aca="false">FALSE()</f>
        <v>0</v>
      </c>
      <c r="G47" s="1" t="n">
        <f aca="false">TRUE()</f>
        <v>1</v>
      </c>
      <c r="H47" s="1" t="n">
        <f aca="false">TRUE()</f>
        <v>1</v>
      </c>
      <c r="I47" s="1" t="n">
        <f aca="false">TRUE()</f>
        <v>1</v>
      </c>
      <c r="J47" s="1" t="n">
        <f aca="false">TRUE()</f>
        <v>1</v>
      </c>
      <c r="K47" s="0" t="n">
        <f aca="false">IFERROR(__xludf.dummyfunction("""COMPUTED_VALUE"""),174)</f>
        <v>174</v>
      </c>
    </row>
    <row r="48" customFormat="false" ht="15.75" hidden="false" customHeight="false" outlineLevel="0" collapsed="false">
      <c r="A48" s="0" t="str">
        <f aca="false">IFERROR(__xludf.dummyfunction("""COMPUTED_VALUE"""),"Подворная")</f>
        <v>Подворная</v>
      </c>
      <c r="B48" s="0" t="str">
        <f aca="false">IFERROR(__xludf.dummyfunction("""COMPUTED_VALUE"""),"Кристина")</f>
        <v>Кристина</v>
      </c>
      <c r="C48" s="0" t="n">
        <f aca="false">IFERROR(__xludf.dummyfunction("""COMPUTED_VALUE"""),8)</f>
        <v>8</v>
      </c>
      <c r="D48" s="0" t="n">
        <f aca="false">IFERROR(__xludf.dummyfunction("""COMPUTED_VALUE"""),117)</f>
        <v>117</v>
      </c>
      <c r="E48" s="12" t="str">
        <f aca="false">IFERROR(__xludf.dummyfunction("""COMPUTED_VALUE"""),"Не совсем наивная алгебра")</f>
        <v>Не совсем наивная алгебра</v>
      </c>
      <c r="F48" s="1" t="n">
        <f aca="false">TRUE()</f>
        <v>1</v>
      </c>
      <c r="G48" s="1" t="n">
        <f aca="false">TRUE()</f>
        <v>1</v>
      </c>
      <c r="H48" s="1" t="n">
        <f aca="false">TRUE()</f>
        <v>1</v>
      </c>
      <c r="I48" s="1" t="n">
        <f aca="false">TRUE()</f>
        <v>1</v>
      </c>
      <c r="J48" s="1" t="n">
        <f aca="false">TRUE()</f>
        <v>1</v>
      </c>
      <c r="K48" s="0" t="n">
        <f aca="false">IFERROR(__xludf.dummyfunction("""COMPUTED_VALUE"""),160)</f>
        <v>160</v>
      </c>
    </row>
    <row r="49" customFormat="false" ht="15.75" hidden="false" customHeight="false" outlineLevel="0" collapsed="false">
      <c r="A49" s="0" t="str">
        <f aca="false">IFERROR(__xludf.dummyfunction("""COMPUTED_VALUE"""),"Протченко")</f>
        <v>Протченко</v>
      </c>
      <c r="B49" s="0" t="str">
        <f aca="false">IFERROR(__xludf.dummyfunction("""COMPUTED_VALUE"""),"Анастасия")</f>
        <v>Анастасия</v>
      </c>
      <c r="C49" s="0" t="n">
        <f aca="false">IFERROR(__xludf.dummyfunction("""COMPUTED_VALUE"""),9)</f>
        <v>9</v>
      </c>
      <c r="D49" s="0" t="n">
        <f aca="false">IFERROR(__xludf.dummyfunction("""COMPUTED_VALUE"""),17)</f>
        <v>17</v>
      </c>
      <c r="E49" s="12" t="str">
        <f aca="false">IFERROR(__xludf.dummyfunction("""COMPUTED_VALUE"""),"Не совсем наивная алгебра")</f>
        <v>Не совсем наивная алгебра</v>
      </c>
      <c r="F49" s="1" t="n">
        <f aca="false">FALSE()</f>
        <v>0</v>
      </c>
      <c r="G49" s="1" t="n">
        <f aca="false">FALSE()</f>
        <v>0</v>
      </c>
      <c r="H49" s="1" t="n">
        <f aca="false">FALSE()</f>
        <v>0</v>
      </c>
      <c r="I49" s="1" t="n">
        <f aca="false">FALSE()</f>
        <v>0</v>
      </c>
      <c r="J49" s="1" t="n">
        <f aca="false">FALSE()</f>
        <v>0</v>
      </c>
      <c r="K49" s="0" t="n">
        <f aca="false">IFERROR(__xludf.dummyfunction("""COMPUTED_VALUE"""),159)</f>
        <v>159</v>
      </c>
    </row>
    <row r="50" customFormat="false" ht="15.75" hidden="false" customHeight="false" outlineLevel="0" collapsed="false">
      <c r="A50" s="0" t="str">
        <f aca="false">IFERROR(__xludf.dummyfunction("""COMPUTED_VALUE"""),"Прохоров")</f>
        <v>Прохоров</v>
      </c>
      <c r="B50" s="0" t="str">
        <f aca="false">IFERROR(__xludf.dummyfunction("""COMPUTED_VALUE"""),"Сергей")</f>
        <v>Сергей</v>
      </c>
      <c r="C50" s="0" t="n">
        <f aca="false">IFERROR(__xludf.dummyfunction("""COMPUTED_VALUE"""),9)</f>
        <v>9</v>
      </c>
      <c r="D50" s="0" t="n">
        <f aca="false">IFERROR(__xludf.dummyfunction("""COMPUTED_VALUE"""),139)</f>
        <v>139</v>
      </c>
      <c r="E50" s="12" t="str">
        <f aca="false">IFERROR(__xludf.dummyfunction("""COMPUTED_VALUE"""),"Не совсем наивная алгебра")</f>
        <v>Не совсем наивная алгебра</v>
      </c>
      <c r="F50" s="1" t="n">
        <f aca="false">TRUE()</f>
        <v>1</v>
      </c>
      <c r="G50" s="1" t="n">
        <f aca="false">TRUE()</f>
        <v>1</v>
      </c>
      <c r="H50" s="1" t="n">
        <f aca="false">TRUE()</f>
        <v>1</v>
      </c>
      <c r="I50" s="1" t="n">
        <f aca="false">TRUE()</f>
        <v>1</v>
      </c>
      <c r="J50" s="1" t="n">
        <f aca="false">TRUE()</f>
        <v>1</v>
      </c>
      <c r="K50" s="0" t="n">
        <f aca="false">IFERROR(__xludf.dummyfunction("""COMPUTED_VALUE"""),47)</f>
        <v>47</v>
      </c>
    </row>
    <row r="51" customFormat="false" ht="15.75" hidden="false" customHeight="false" outlineLevel="0" collapsed="false">
      <c r="A51" s="0" t="str">
        <f aca="false">IFERROR(__xludf.dummyfunction("""COMPUTED_VALUE"""),"Пьянзин")</f>
        <v>Пьянзин</v>
      </c>
      <c r="B51" s="0" t="str">
        <f aca="false">IFERROR(__xludf.dummyfunction("""COMPUTED_VALUE"""),"Богдан")</f>
        <v>Богдан</v>
      </c>
      <c r="C51" s="0" t="n">
        <f aca="false">IFERROR(__xludf.dummyfunction("""COMPUTED_VALUE"""),8)</f>
        <v>8</v>
      </c>
      <c r="D51" s="0" t="n">
        <f aca="false">IFERROR(__xludf.dummyfunction("""COMPUTED_VALUE"""),117)</f>
        <v>117</v>
      </c>
      <c r="E51" s="12" t="str">
        <f aca="false">IFERROR(__xludf.dummyfunction("""COMPUTED_VALUE"""),"Не совсем наивная алгебра")</f>
        <v>Не совсем наивная алгебра</v>
      </c>
      <c r="F51" s="1" t="n">
        <f aca="false">TRUE()</f>
        <v>1</v>
      </c>
      <c r="G51" s="1" t="n">
        <f aca="false">FALSE()</f>
        <v>0</v>
      </c>
      <c r="H51" s="1" t="n">
        <f aca="false">FALSE()</f>
        <v>0</v>
      </c>
      <c r="I51" s="1" t="n">
        <f aca="false">TRUE()</f>
        <v>1</v>
      </c>
      <c r="J51" s="1" t="n">
        <f aca="false">FALSE()</f>
        <v>0</v>
      </c>
      <c r="K51" s="0" t="n">
        <f aca="false">IFERROR(__xludf.dummyfunction("""COMPUTED_VALUE"""),97)</f>
        <v>97</v>
      </c>
    </row>
    <row r="52" customFormat="false" ht="15.75" hidden="false" customHeight="false" outlineLevel="0" collapsed="false">
      <c r="A52" s="0" t="str">
        <f aca="false">IFERROR(__xludf.dummyfunction("""COMPUTED_VALUE"""),"Степанов")</f>
        <v>Степанов</v>
      </c>
      <c r="B52" s="0" t="str">
        <f aca="false">IFERROR(__xludf.dummyfunction("""COMPUTED_VALUE"""),"Михаил")</f>
        <v>Михаил</v>
      </c>
      <c r="C52" s="0" t="n">
        <f aca="false">IFERROR(__xludf.dummyfunction("""COMPUTED_VALUE"""),7)</f>
        <v>7</v>
      </c>
      <c r="D52" s="0" t="n">
        <f aca="false">IFERROR(__xludf.dummyfunction("""COMPUTED_VALUE"""),117)</f>
        <v>117</v>
      </c>
      <c r="E52" s="12" t="str">
        <f aca="false">IFERROR(__xludf.dummyfunction("""COMPUTED_VALUE"""),"Не совсем наивная алгебра")</f>
        <v>Не совсем наивная алгебра</v>
      </c>
      <c r="F52" s="1" t="n">
        <f aca="false">TRUE()</f>
        <v>1</v>
      </c>
      <c r="G52" s="1" t="n">
        <f aca="false">TRUE()</f>
        <v>1</v>
      </c>
      <c r="H52" s="1" t="n">
        <f aca="false">TRUE()</f>
        <v>1</v>
      </c>
      <c r="I52" s="1" t="n">
        <f aca="false">TRUE()</f>
        <v>1</v>
      </c>
      <c r="J52" s="1" t="n">
        <f aca="false">TRUE()</f>
        <v>1</v>
      </c>
      <c r="K52" s="0" t="n">
        <f aca="false">IFERROR(__xludf.dummyfunction("""COMPUTED_VALUE"""),158)</f>
        <v>158</v>
      </c>
    </row>
    <row r="53" customFormat="false" ht="15.75" hidden="false" customHeight="false" outlineLevel="0" collapsed="false">
      <c r="A53" s="0" t="str">
        <f aca="false">IFERROR(__xludf.dummyfunction("""COMPUTED_VALUE"""),"Тимомеев")</f>
        <v>Тимомеев</v>
      </c>
      <c r="B53" s="0" t="str">
        <f aca="false">IFERROR(__xludf.dummyfunction("""COMPUTED_VALUE"""),"Рустам")</f>
        <v>Рустам</v>
      </c>
      <c r="C53" s="0" t="n">
        <f aca="false">IFERROR(__xludf.dummyfunction("""COMPUTED_VALUE"""),10)</f>
        <v>10</v>
      </c>
      <c r="D53" s="0" t="n">
        <f aca="false">IFERROR(__xludf.dummyfunction("""COMPUTED_VALUE"""),117)</f>
        <v>117</v>
      </c>
      <c r="E53" s="12" t="str">
        <f aca="false">IFERROR(__xludf.dummyfunction("""COMPUTED_VALUE"""),"Не совсем наивная алгебра")</f>
        <v>Не совсем наивная алгебра</v>
      </c>
      <c r="F53" s="1" t="n">
        <f aca="false">FALSE()</f>
        <v>0</v>
      </c>
      <c r="G53" s="1" t="n">
        <f aca="false">FALSE()</f>
        <v>0</v>
      </c>
      <c r="H53" s="1" t="n">
        <f aca="false">FALSE()</f>
        <v>0</v>
      </c>
      <c r="I53" s="1" t="n">
        <f aca="false">FALSE()</f>
        <v>0</v>
      </c>
      <c r="J53" s="1" t="n">
        <f aca="false">FALSE()</f>
        <v>0</v>
      </c>
      <c r="K53" s="0" t="n">
        <f aca="false">IFERROR(__xludf.dummyfunction("""COMPUTED_VALUE"""),132)</f>
        <v>132</v>
      </c>
    </row>
    <row r="54" customFormat="false" ht="15.75" hidden="false" customHeight="false" outlineLevel="0" collapsed="false">
      <c r="A54" s="0" t="str">
        <f aca="false">IFERROR(__xludf.dummyfunction("""COMPUTED_VALUE"""),"Белозеров")</f>
        <v>Белозеров</v>
      </c>
      <c r="B54" s="0" t="str">
        <f aca="false">IFERROR(__xludf.dummyfunction("""COMPUTED_VALUE"""),"Алексей")</f>
        <v>Алексей</v>
      </c>
      <c r="C54" s="0" t="n">
        <f aca="false">IFERROR(__xludf.dummyfunction("""COMPUTED_VALUE"""),9)</f>
        <v>9</v>
      </c>
      <c r="D54" s="0" t="n">
        <f aca="false">IFERROR(__xludf.dummyfunction("""COMPUTED_VALUE"""),56)</f>
        <v>56</v>
      </c>
      <c r="E54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54" s="1" t="n">
        <f aca="false">TRUE()</f>
        <v>1</v>
      </c>
      <c r="G54" s="1" t="n">
        <f aca="false">TRUE()</f>
        <v>1</v>
      </c>
      <c r="H54" s="1" t="n">
        <f aca="false">TRUE()</f>
        <v>1</v>
      </c>
      <c r="I54" s="1" t="n">
        <f aca="false">TRUE()</f>
        <v>1</v>
      </c>
      <c r="J54" s="1" t="n">
        <f aca="false">TRUE()</f>
        <v>1</v>
      </c>
      <c r="K54" s="0" t="n">
        <f aca="false">IFERROR(__xludf.dummyfunction("""COMPUTED_VALUE"""),166)</f>
        <v>166</v>
      </c>
    </row>
    <row r="55" customFormat="false" ht="15.75" hidden="false" customHeight="false" outlineLevel="0" collapsed="false">
      <c r="A55" s="0" t="str">
        <f aca="false">IFERROR(__xludf.dummyfunction("""COMPUTED_VALUE"""),"Лекант")</f>
        <v>Лекант</v>
      </c>
      <c r="B55" s="0" t="str">
        <f aca="false">IFERROR(__xludf.dummyfunction("""COMPUTED_VALUE"""),"Полина")</f>
        <v>Полина</v>
      </c>
      <c r="C55" s="0" t="n">
        <f aca="false">IFERROR(__xludf.dummyfunction("""COMPUTED_VALUE"""),10)</f>
        <v>10</v>
      </c>
      <c r="D55" s="0" t="n">
        <f aca="false">IFERROR(__xludf.dummyfunction("""COMPUTED_VALUE"""),117)</f>
        <v>117</v>
      </c>
      <c r="E55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55" s="1" t="n">
        <f aca="false">TRUE()</f>
        <v>1</v>
      </c>
      <c r="G55" s="1" t="n">
        <f aca="false">TRUE()</f>
        <v>1</v>
      </c>
      <c r="H55" s="1" t="n">
        <f aca="false">TRUE()</f>
        <v>1</v>
      </c>
      <c r="I55" s="1" t="n">
        <f aca="false">TRUE()</f>
        <v>1</v>
      </c>
      <c r="J55" s="1" t="n">
        <f aca="false">TRUE()</f>
        <v>1</v>
      </c>
      <c r="K55" s="0" t="n">
        <f aca="false">IFERROR(__xludf.dummyfunction("""COMPUTED_VALUE"""),125)</f>
        <v>125</v>
      </c>
    </row>
    <row r="56" customFormat="false" ht="15.75" hidden="false" customHeight="false" outlineLevel="0" collapsed="false">
      <c r="A56" s="0" t="str">
        <f aca="false">IFERROR(__xludf.dummyfunction("""COMPUTED_VALUE"""),"Логинов")</f>
        <v>Логинов</v>
      </c>
      <c r="B56" s="0" t="str">
        <f aca="false">IFERROR(__xludf.dummyfunction("""COMPUTED_VALUE"""),"Владислав")</f>
        <v>Владислав</v>
      </c>
      <c r="C56" s="0" t="n">
        <f aca="false">IFERROR(__xludf.dummyfunction("""COMPUTED_VALUE"""),7)</f>
        <v>7</v>
      </c>
      <c r="D56" s="0" t="n">
        <f aca="false">IFERROR(__xludf.dummyfunction("""COMPUTED_VALUE"""),117)</f>
        <v>117</v>
      </c>
      <c r="E56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56" s="1" t="n">
        <f aca="false">TRUE()</f>
        <v>1</v>
      </c>
      <c r="G56" s="1" t="n">
        <f aca="false">TRUE()</f>
        <v>1</v>
      </c>
      <c r="H56" s="1" t="n">
        <f aca="false">TRUE()</f>
        <v>1</v>
      </c>
      <c r="I56" s="1" t="n">
        <f aca="false">TRUE()</f>
        <v>1</v>
      </c>
      <c r="J56" s="1" t="n">
        <f aca="false">TRUE()</f>
        <v>1</v>
      </c>
      <c r="K56" s="0" t="n">
        <f aca="false">IFERROR(__xludf.dummyfunction("""COMPUTED_VALUE"""),95)</f>
        <v>95</v>
      </c>
    </row>
    <row r="57" customFormat="false" ht="15.75" hidden="false" customHeight="false" outlineLevel="0" collapsed="false">
      <c r="A57" s="0" t="str">
        <f aca="false">IFERROR(__xludf.dummyfunction("""COMPUTED_VALUE"""),"Лощинин")</f>
        <v>Лощинин</v>
      </c>
      <c r="B57" s="0" t="str">
        <f aca="false">IFERROR(__xludf.dummyfunction("""COMPUTED_VALUE"""),"Олег")</f>
        <v>Олег</v>
      </c>
      <c r="C57" s="0" t="n">
        <f aca="false">IFERROR(__xludf.dummyfunction("""COMPUTED_VALUE"""),8)</f>
        <v>8</v>
      </c>
      <c r="D57" s="0" t="n">
        <f aca="false">IFERROR(__xludf.dummyfunction("""COMPUTED_VALUE"""),117)</f>
        <v>117</v>
      </c>
      <c r="E57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57" s="1" t="n">
        <f aca="false">TRUE()</f>
        <v>1</v>
      </c>
      <c r="G57" s="1" t="n">
        <f aca="false">FALSE()</f>
        <v>0</v>
      </c>
      <c r="H57" s="1" t="n">
        <f aca="false">TRUE()</f>
        <v>1</v>
      </c>
      <c r="I57" s="1" t="n">
        <f aca="false">FALSE()</f>
        <v>0</v>
      </c>
      <c r="J57" s="1" t="n">
        <f aca="false">TRUE()</f>
        <v>1</v>
      </c>
      <c r="K57" s="0" t="n">
        <f aca="false">IFERROR(__xludf.dummyfunction("""COMPUTED_VALUE"""),152)</f>
        <v>152</v>
      </c>
    </row>
    <row r="58" customFormat="false" ht="15.75" hidden="false" customHeight="false" outlineLevel="0" collapsed="false">
      <c r="A58" s="0" t="str">
        <f aca="false">IFERROR(__xludf.dummyfunction("""COMPUTED_VALUE"""),"Михайленко")</f>
        <v>Михайленко</v>
      </c>
      <c r="B58" s="0" t="str">
        <f aca="false">IFERROR(__xludf.dummyfunction("""COMPUTED_VALUE"""),"Владимир")</f>
        <v>Владимир</v>
      </c>
      <c r="C58" s="0" t="n">
        <f aca="false">IFERROR(__xludf.dummyfunction("""COMPUTED_VALUE"""),7)</f>
        <v>7</v>
      </c>
      <c r="D58" s="0" t="n">
        <f aca="false">IFERROR(__xludf.dummyfunction("""COMPUTED_VALUE"""),25)</f>
        <v>25</v>
      </c>
      <c r="E58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58" s="1" t="n">
        <f aca="false">TRUE()</f>
        <v>1</v>
      </c>
      <c r="G58" s="1" t="n">
        <f aca="false">TRUE()</f>
        <v>1</v>
      </c>
      <c r="H58" s="1" t="n">
        <f aca="false">TRUE()</f>
        <v>1</v>
      </c>
      <c r="I58" s="1" t="n">
        <f aca="false">TRUE()</f>
        <v>1</v>
      </c>
      <c r="J58" s="1" t="n">
        <f aca="false">TRUE()</f>
        <v>1</v>
      </c>
      <c r="K58" s="0" t="n">
        <f aca="false">IFERROR(__xludf.dummyfunction("""COMPUTED_VALUE"""),104)</f>
        <v>104</v>
      </c>
    </row>
    <row r="59" customFormat="false" ht="15.75" hidden="false" customHeight="false" outlineLevel="0" collapsed="false">
      <c r="A59" s="0" t="str">
        <f aca="false">IFERROR(__xludf.dummyfunction("""COMPUTED_VALUE"""),"Мороз")</f>
        <v>Мороз</v>
      </c>
      <c r="B59" s="0" t="str">
        <f aca="false">IFERROR(__xludf.dummyfunction("""COMPUTED_VALUE"""),"Семён")</f>
        <v>Семён</v>
      </c>
      <c r="C59" s="0" t="n">
        <f aca="false">IFERROR(__xludf.dummyfunction("""COMPUTED_VALUE"""),9)</f>
        <v>9</v>
      </c>
      <c r="D59" s="0" t="n">
        <f aca="false">IFERROR(__xludf.dummyfunction("""COMPUTED_VALUE"""),117)</f>
        <v>117</v>
      </c>
      <c r="E59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59" s="1" t="n">
        <f aca="false">TRUE()</f>
        <v>1</v>
      </c>
      <c r="G59" s="1" t="n">
        <f aca="false">TRUE()</f>
        <v>1</v>
      </c>
      <c r="H59" s="1" t="n">
        <f aca="false">TRUE()</f>
        <v>1</v>
      </c>
      <c r="I59" s="1" t="n">
        <f aca="false">TRUE()</f>
        <v>1</v>
      </c>
      <c r="J59" s="1" t="n">
        <f aca="false">TRUE()</f>
        <v>1</v>
      </c>
      <c r="K59" s="0" t="n">
        <f aca="false">IFERROR(__xludf.dummyfunction("""COMPUTED_VALUE"""),151)</f>
        <v>151</v>
      </c>
    </row>
    <row r="60" customFormat="false" ht="15.75" hidden="false" customHeight="false" outlineLevel="0" collapsed="false">
      <c r="A60" s="0" t="str">
        <f aca="false">IFERROR(__xludf.dummyfunction("""COMPUTED_VALUE"""),"Мукушева")</f>
        <v>Мукушева</v>
      </c>
      <c r="B60" s="0" t="str">
        <f aca="false">IFERROR(__xludf.dummyfunction("""COMPUTED_VALUE"""),"Рамина")</f>
        <v>Рамина</v>
      </c>
      <c r="C60" s="0" t="n">
        <f aca="false">IFERROR(__xludf.dummyfunction("""COMPUTED_VALUE"""),8)</f>
        <v>8</v>
      </c>
      <c r="D60" s="0" t="n">
        <f aca="false">IFERROR(__xludf.dummyfunction("""COMPUTED_VALUE"""),146)</f>
        <v>146</v>
      </c>
      <c r="E60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60" s="1" t="n">
        <f aca="false">TRUE()</f>
        <v>1</v>
      </c>
      <c r="G60" s="1" t="n">
        <f aca="false">TRUE()</f>
        <v>1</v>
      </c>
      <c r="H60" s="1" t="n">
        <f aca="false">TRUE()</f>
        <v>1</v>
      </c>
      <c r="I60" s="1" t="n">
        <f aca="false">TRUE()</f>
        <v>1</v>
      </c>
      <c r="J60" s="1" t="n">
        <f aca="false">FALSE()</f>
        <v>0</v>
      </c>
      <c r="K60" s="0" t="n">
        <f aca="false">IFERROR(__xludf.dummyfunction("""COMPUTED_VALUE"""),145)</f>
        <v>145</v>
      </c>
    </row>
    <row r="61" customFormat="false" ht="15.75" hidden="false" customHeight="false" outlineLevel="0" collapsed="false">
      <c r="A61" s="0" t="str">
        <f aca="false">IFERROR(__xludf.dummyfunction("""COMPUTED_VALUE"""),"Орешин")</f>
        <v>Орешин</v>
      </c>
      <c r="B61" s="0" t="str">
        <f aca="false">IFERROR(__xludf.dummyfunction("""COMPUTED_VALUE"""),"Константин ")</f>
        <v>Константин</v>
      </c>
      <c r="C61" s="0" t="n">
        <f aca="false">IFERROR(__xludf.dummyfunction("""COMPUTED_VALUE"""),7)</f>
        <v>7</v>
      </c>
      <c r="D61" s="0" t="n">
        <f aca="false">IFERROR(__xludf.dummyfunction("""COMPUTED_VALUE"""),117)</f>
        <v>117</v>
      </c>
      <c r="E61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61" s="1" t="n">
        <f aca="false">TRUE()</f>
        <v>1</v>
      </c>
      <c r="G61" s="1" t="n">
        <f aca="false">TRUE()</f>
        <v>1</v>
      </c>
      <c r="H61" s="1" t="n">
        <f aca="false">TRUE()</f>
        <v>1</v>
      </c>
      <c r="I61" s="1" t="n">
        <f aca="false">TRUE()</f>
        <v>1</v>
      </c>
      <c r="J61" s="1" t="n">
        <f aca="false">TRUE()</f>
        <v>1</v>
      </c>
      <c r="K61" s="0" t="n">
        <f aca="false">IFERROR(__xludf.dummyfunction("""COMPUTED_VALUE"""),58)</f>
        <v>58</v>
      </c>
    </row>
    <row r="62" customFormat="false" ht="15.75" hidden="false" customHeight="false" outlineLevel="0" collapsed="false">
      <c r="A62" s="0" t="str">
        <f aca="false">IFERROR(__xludf.dummyfunction("""COMPUTED_VALUE"""),"Ракова")</f>
        <v>Ракова</v>
      </c>
      <c r="B62" s="0" t="str">
        <f aca="false">IFERROR(__xludf.dummyfunction("""COMPUTED_VALUE"""),"Елизавета")</f>
        <v>Елизавета</v>
      </c>
      <c r="C62" s="0" t="n">
        <f aca="false">IFERROR(__xludf.dummyfunction("""COMPUTED_VALUE"""),7)</f>
        <v>7</v>
      </c>
      <c r="D62" s="0" t="n">
        <f aca="false">IFERROR(__xludf.dummyfunction("""COMPUTED_VALUE"""),117)</f>
        <v>117</v>
      </c>
      <c r="E62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62" s="1" t="n">
        <f aca="false">TRUE()</f>
        <v>1</v>
      </c>
      <c r="G62" s="1" t="n">
        <f aca="false">TRUE()</f>
        <v>1</v>
      </c>
      <c r="H62" s="1" t="n">
        <f aca="false">TRUE()</f>
        <v>1</v>
      </c>
      <c r="I62" s="1" t="n">
        <f aca="false">FALSE()</f>
        <v>0</v>
      </c>
      <c r="J62" s="1" t="n">
        <f aca="false">FALSE()</f>
        <v>0</v>
      </c>
      <c r="K62" s="0" t="n">
        <f aca="false">IFERROR(__xludf.dummyfunction("""COMPUTED_VALUE"""),39)</f>
        <v>39</v>
      </c>
    </row>
    <row r="63" customFormat="false" ht="15.75" hidden="false" customHeight="false" outlineLevel="0" collapsed="false">
      <c r="A63" s="0" t="str">
        <f aca="false">IFERROR(__xludf.dummyfunction("""COMPUTED_VALUE"""),"Ровенских")</f>
        <v>Ровенских</v>
      </c>
      <c r="B63" s="0" t="str">
        <f aca="false">IFERROR(__xludf.dummyfunction("""COMPUTED_VALUE"""),"Михаил")</f>
        <v>Михаил</v>
      </c>
      <c r="C63" s="0" t="n">
        <f aca="false">IFERROR(__xludf.dummyfunction("""COMPUTED_VALUE"""),7)</f>
        <v>7</v>
      </c>
      <c r="D63" s="0" t="n">
        <f aca="false">IFERROR(__xludf.dummyfunction("""COMPUTED_VALUE"""),84)</f>
        <v>84</v>
      </c>
      <c r="E63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63" s="1" t="n">
        <f aca="false">TRUE()</f>
        <v>1</v>
      </c>
      <c r="G63" s="1" t="n">
        <f aca="false">TRUE()</f>
        <v>1</v>
      </c>
      <c r="H63" s="1" t="n">
        <f aca="false">TRUE()</f>
        <v>1</v>
      </c>
      <c r="I63" s="1" t="n">
        <f aca="false">TRUE()</f>
        <v>1</v>
      </c>
      <c r="J63" s="1" t="n">
        <f aca="false">TRUE()</f>
        <v>1</v>
      </c>
      <c r="K63" s="0" t="n">
        <f aca="false">IFERROR(__xludf.dummyfunction("""COMPUTED_VALUE"""),117)</f>
        <v>117</v>
      </c>
    </row>
    <row r="64" customFormat="false" ht="15.75" hidden="false" customHeight="false" outlineLevel="0" collapsed="false">
      <c r="A64" s="0" t="str">
        <f aca="false">IFERROR(__xludf.dummyfunction("""COMPUTED_VALUE"""),"рожкова")</f>
        <v>рожкова</v>
      </c>
      <c r="B64" s="0" t="str">
        <f aca="false">IFERROR(__xludf.dummyfunction("""COMPUTED_VALUE"""),"Вика")</f>
        <v>Вика</v>
      </c>
      <c r="C64" s="0" t="n">
        <f aca="false">IFERROR(__xludf.dummyfunction("""COMPUTED_VALUE"""),7)</f>
        <v>7</v>
      </c>
      <c r="D64" s="0" t="str">
        <f aca="false">IFERROR(__xludf.dummyfunction("""COMPUTED_VALUE"""),"Ключевская школа")</f>
        <v>Ключевская школа</v>
      </c>
      <c r="E64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64" s="1" t="n">
        <f aca="false">TRUE()</f>
        <v>1</v>
      </c>
      <c r="G64" s="1" t="n">
        <f aca="false">TRUE()</f>
        <v>1</v>
      </c>
      <c r="H64" s="1" t="n">
        <f aca="false">FALSE()</f>
        <v>0</v>
      </c>
      <c r="I64" s="1" t="n">
        <f aca="false">TRUE()</f>
        <v>1</v>
      </c>
      <c r="J64" s="1" t="n">
        <f aca="false">TRUE()</f>
        <v>1</v>
      </c>
      <c r="K64" s="0" t="n">
        <f aca="false">IFERROR(__xludf.dummyfunction("""COMPUTED_VALUE"""),24)</f>
        <v>24</v>
      </c>
    </row>
    <row r="65" customFormat="false" ht="15.75" hidden="false" customHeight="false" outlineLevel="0" collapsed="false">
      <c r="A65" s="0" t="str">
        <f aca="false">IFERROR(__xludf.dummyfunction("""COMPUTED_VALUE"""),"Семенов")</f>
        <v>Семенов</v>
      </c>
      <c r="B65" s="0" t="str">
        <f aca="false">IFERROR(__xludf.dummyfunction("""COMPUTED_VALUE"""),"Егор")</f>
        <v>Егор</v>
      </c>
      <c r="C65" s="0" t="n">
        <f aca="false">IFERROR(__xludf.dummyfunction("""COMPUTED_VALUE"""),9)</f>
        <v>9</v>
      </c>
      <c r="D65" s="0" t="n">
        <f aca="false">IFERROR(__xludf.dummyfunction("""COMPUTED_VALUE"""),117)</f>
        <v>117</v>
      </c>
      <c r="E65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65" s="1" t="n">
        <f aca="false">TRUE()</f>
        <v>1</v>
      </c>
      <c r="G65" s="1" t="n">
        <f aca="false">TRUE()</f>
        <v>1</v>
      </c>
      <c r="H65" s="1" t="n">
        <f aca="false">TRUE()</f>
        <v>1</v>
      </c>
      <c r="I65" s="1" t="n">
        <f aca="false">TRUE()</f>
        <v>1</v>
      </c>
      <c r="J65" s="1" t="n">
        <f aca="false">TRUE()</f>
        <v>1</v>
      </c>
      <c r="K65" s="0" t="n">
        <f aca="false">IFERROR(__xludf.dummyfunction("""COMPUTED_VALUE"""),150)</f>
        <v>150</v>
      </c>
    </row>
    <row r="66" customFormat="false" ht="15.75" hidden="false" customHeight="false" outlineLevel="0" collapsed="false">
      <c r="A66" s="0" t="str">
        <f aca="false">IFERROR(__xludf.dummyfunction("""COMPUTED_VALUE"""),"Стативка")</f>
        <v>Стативка</v>
      </c>
      <c r="B66" s="0" t="str">
        <f aca="false">IFERROR(__xludf.dummyfunction("""COMPUTED_VALUE"""),"Максим")</f>
        <v>Максим</v>
      </c>
      <c r="C66" s="0" t="n">
        <f aca="false">IFERROR(__xludf.dummyfunction("""COMPUTED_VALUE"""),7)</f>
        <v>7</v>
      </c>
      <c r="D66" s="0" t="n">
        <f aca="false">IFERROR(__xludf.dummyfunction("""COMPUTED_VALUE"""),117)</f>
        <v>117</v>
      </c>
      <c r="E66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66" s="1" t="n">
        <f aca="false">FALSE()</f>
        <v>0</v>
      </c>
      <c r="G66" s="1" t="n">
        <f aca="false">TRUE()</f>
        <v>1</v>
      </c>
      <c r="H66" s="1" t="n">
        <f aca="false">TRUE()</f>
        <v>1</v>
      </c>
      <c r="I66" s="1" t="n">
        <f aca="false">FALSE()</f>
        <v>0</v>
      </c>
      <c r="J66" s="1" t="n">
        <f aca="false">FALSE()</f>
        <v>0</v>
      </c>
      <c r="K66" s="0" t="n">
        <f aca="false">IFERROR(__xludf.dummyfunction("""COMPUTED_VALUE"""),137)</f>
        <v>137</v>
      </c>
    </row>
    <row r="67" customFormat="false" ht="15.75" hidden="false" customHeight="false" outlineLevel="0" collapsed="false">
      <c r="A67" s="0" t="str">
        <f aca="false">IFERROR(__xludf.dummyfunction("""COMPUTED_VALUE"""),"Чебакова")</f>
        <v>Чебакова</v>
      </c>
      <c r="B67" s="0" t="str">
        <f aca="false">IFERROR(__xludf.dummyfunction("""COMPUTED_VALUE"""),"Майя")</f>
        <v>Майя</v>
      </c>
      <c r="C67" s="0" t="n">
        <f aca="false">IFERROR(__xludf.dummyfunction("""COMPUTED_VALUE"""),9)</f>
        <v>9</v>
      </c>
      <c r="D67" s="0" t="n">
        <f aca="false">IFERROR(__xludf.dummyfunction("""COMPUTED_VALUE"""),64)</f>
        <v>64</v>
      </c>
      <c r="E67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67" s="1" t="n">
        <f aca="false">TRUE()</f>
        <v>1</v>
      </c>
      <c r="G67" s="1" t="n">
        <f aca="false">TRUE()</f>
        <v>1</v>
      </c>
      <c r="H67" s="1" t="n">
        <f aca="false">TRUE()</f>
        <v>1</v>
      </c>
      <c r="I67" s="1" t="n">
        <f aca="false">TRUE()</f>
        <v>1</v>
      </c>
      <c r="J67" s="1" t="n">
        <f aca="false">TRUE()</f>
        <v>1</v>
      </c>
      <c r="K67" s="0" t="n">
        <f aca="false">IFERROR(__xludf.dummyfunction("""COMPUTED_VALUE"""),50)</f>
        <v>50</v>
      </c>
    </row>
    <row r="68" customFormat="false" ht="15.75" hidden="false" customHeight="false" outlineLevel="0" collapsed="false">
      <c r="A68" s="0" t="str">
        <f aca="false">IFERROR(__xludf.dummyfunction("""COMPUTED_VALUE"""),"Щукина ")</f>
        <v>Щукина</v>
      </c>
      <c r="B68" s="0" t="str">
        <f aca="false">IFERROR(__xludf.dummyfunction("""COMPUTED_VALUE"""),"Елена ")</f>
        <v>Елена</v>
      </c>
      <c r="C68" s="0" t="n">
        <f aca="false">IFERROR(__xludf.dummyfunction("""COMPUTED_VALUE"""),7)</f>
        <v>7</v>
      </c>
      <c r="D68" s="0" t="n">
        <f aca="false">IFERROR(__xludf.dummyfunction("""COMPUTED_VALUE"""),12)</f>
        <v>12</v>
      </c>
      <c r="E68" s="12" t="str">
        <f aca="false">IFERROR(__xludf.dummyfunction("""COMPUTED_VALUE"""),"Немного комбинаторики и теория вероятности")</f>
        <v>Немного комбинаторики и теория вероятности</v>
      </c>
      <c r="F68" s="1" t="n">
        <f aca="false">TRUE()</f>
        <v>1</v>
      </c>
      <c r="G68" s="1" t="n">
        <f aca="false">TRUE()</f>
        <v>1</v>
      </c>
      <c r="H68" s="1" t="n">
        <f aca="false">FALSE()</f>
        <v>0</v>
      </c>
      <c r="I68" s="1" t="n">
        <f aca="false">TRUE()</f>
        <v>1</v>
      </c>
      <c r="J68" s="1" t="n">
        <f aca="false">TRUE()</f>
        <v>1</v>
      </c>
      <c r="K68" s="0" t="n">
        <f aca="false">IFERROR(__xludf.dummyfunction("""COMPUTED_VALUE"""),23)</f>
        <v>23</v>
      </c>
    </row>
    <row r="69" customFormat="false" ht="15.75" hidden="false" customHeight="false" outlineLevel="0" collapsed="false">
      <c r="A69" s="0" t="str">
        <f aca="false">IFERROR(__xludf.dummyfunction("""COMPUTED_VALUE"""),"Асаинов")</f>
        <v>Асаинов</v>
      </c>
      <c r="B69" s="0" t="str">
        <f aca="false">IFERROR(__xludf.dummyfunction("""COMPUTED_VALUE"""),"Дарий")</f>
        <v>Дарий</v>
      </c>
      <c r="C69" s="0" t="n">
        <f aca="false">IFERROR(__xludf.dummyfunction("""COMPUTED_VALUE"""),10)</f>
        <v>10</v>
      </c>
      <c r="D69" s="0" t="n">
        <f aca="false">IFERROR(__xludf.dummyfunction("""COMPUTED_VALUE"""),64)</f>
        <v>64</v>
      </c>
      <c r="E69" s="12" t="str">
        <f aca="false">IFERROR(__xludf.dummyfunction("""COMPUTED_VALUE"""),"Практическая психология")</f>
        <v>Практическая психология</v>
      </c>
      <c r="F69" s="1" t="n">
        <f aca="false">TRUE()</f>
        <v>1</v>
      </c>
      <c r="G69" s="1" t="n">
        <f aca="false">TRUE()</f>
        <v>1</v>
      </c>
      <c r="H69" s="1" t="n">
        <f aca="false">FALSE()</f>
        <v>0</v>
      </c>
      <c r="I69" s="1" t="n">
        <f aca="false">TRUE()</f>
        <v>1</v>
      </c>
      <c r="J69" s="1" t="n">
        <f aca="false">TRUE()</f>
        <v>1</v>
      </c>
      <c r="K69" s="0" t="n">
        <f aca="false">IFERROR(__xludf.dummyfunction("""COMPUTED_VALUE"""),49)</f>
        <v>49</v>
      </c>
    </row>
    <row r="70" customFormat="false" ht="15.75" hidden="false" customHeight="false" outlineLevel="0" collapsed="false">
      <c r="A70" s="0" t="str">
        <f aca="false">IFERROR(__xludf.dummyfunction("""COMPUTED_VALUE"""),"Белим ")</f>
        <v>Белим</v>
      </c>
      <c r="B70" s="0" t="str">
        <f aca="false">IFERROR(__xludf.dummyfunction("""COMPUTED_VALUE"""),"Екатерина ")</f>
        <v>Екатерина</v>
      </c>
      <c r="C70" s="0" t="n">
        <f aca="false">IFERROR(__xludf.dummyfunction("""COMPUTED_VALUE"""),8)</f>
        <v>8</v>
      </c>
      <c r="D70" s="0" t="n">
        <f aca="false">IFERROR(__xludf.dummyfunction("""COMPUTED_VALUE"""),117)</f>
        <v>117</v>
      </c>
      <c r="E70" s="12" t="str">
        <f aca="false">IFERROR(__xludf.dummyfunction("""COMPUTED_VALUE"""),"Практическая психология")</f>
        <v>Практическая психология</v>
      </c>
      <c r="F70" s="1" t="n">
        <f aca="false">TRUE()</f>
        <v>1</v>
      </c>
      <c r="G70" s="1" t="n">
        <f aca="false">TRUE()</f>
        <v>1</v>
      </c>
      <c r="H70" s="1" t="n">
        <f aca="false">TRUE()</f>
        <v>1</v>
      </c>
      <c r="I70" s="1" t="n">
        <f aca="false">FALSE()</f>
        <v>0</v>
      </c>
      <c r="J70" s="1" t="n">
        <f aca="false">TRUE()</f>
        <v>1</v>
      </c>
      <c r="K70" s="0" t="n">
        <f aca="false">IFERROR(__xludf.dummyfunction("""COMPUTED_VALUE"""),73)</f>
        <v>73</v>
      </c>
    </row>
    <row r="71" customFormat="false" ht="15.75" hidden="false" customHeight="false" outlineLevel="0" collapsed="false">
      <c r="A71" s="0" t="str">
        <f aca="false">IFERROR(__xludf.dummyfunction("""COMPUTED_VALUE"""),"Васильева")</f>
        <v>Васильева</v>
      </c>
      <c r="B71" s="0" t="str">
        <f aca="false">IFERROR(__xludf.dummyfunction("""COMPUTED_VALUE"""),"Мария ")</f>
        <v>Мария</v>
      </c>
      <c r="C71" s="0" t="n">
        <f aca="false">IFERROR(__xludf.dummyfunction("""COMPUTED_VALUE"""),10)</f>
        <v>10</v>
      </c>
      <c r="D71" s="0" t="n">
        <f aca="false">IFERROR(__xludf.dummyfunction("""COMPUTED_VALUE"""),117)</f>
        <v>117</v>
      </c>
      <c r="E71" s="12" t="str">
        <f aca="false">IFERROR(__xludf.dummyfunction("""COMPUTED_VALUE"""),"Практическая психология")</f>
        <v>Практическая психология</v>
      </c>
      <c r="F71" s="1" t="n">
        <f aca="false">TRUE()</f>
        <v>1</v>
      </c>
      <c r="G71" s="1" t="n">
        <f aca="false">TRUE()</f>
        <v>1</v>
      </c>
      <c r="H71" s="1" t="n">
        <f aca="false">TRUE()</f>
        <v>1</v>
      </c>
      <c r="I71" s="1" t="n">
        <f aca="false">TRUE()</f>
        <v>1</v>
      </c>
      <c r="J71" s="1" t="n">
        <f aca="false">FALSE()</f>
        <v>0</v>
      </c>
      <c r="K71" s="0" t="n">
        <f aca="false">IFERROR(__xludf.dummyfunction("""COMPUTED_VALUE"""),25)</f>
        <v>25</v>
      </c>
    </row>
    <row r="72" customFormat="false" ht="15.75" hidden="false" customHeight="false" outlineLevel="0" collapsed="false">
      <c r="A72" s="0" t="str">
        <f aca="false">IFERROR(__xludf.dummyfunction("""COMPUTED_VALUE"""),"Гебель")</f>
        <v>Гебель</v>
      </c>
      <c r="B72" s="0" t="str">
        <f aca="false">IFERROR(__xludf.dummyfunction("""COMPUTED_VALUE"""),"Полина")</f>
        <v>Полина</v>
      </c>
      <c r="C72" s="0" t="n">
        <f aca="false">IFERROR(__xludf.dummyfunction("""COMPUTED_VALUE"""),8)</f>
        <v>8</v>
      </c>
      <c r="D72" s="0" t="n">
        <f aca="false">IFERROR(__xludf.dummyfunction("""COMPUTED_VALUE"""),117)</f>
        <v>117</v>
      </c>
      <c r="E72" s="12" t="str">
        <f aca="false">IFERROR(__xludf.dummyfunction("""COMPUTED_VALUE"""),"Практическая психология")</f>
        <v>Практическая психология</v>
      </c>
      <c r="F72" s="1" t="n">
        <f aca="false">TRUE()</f>
        <v>1</v>
      </c>
      <c r="G72" s="1" t="n">
        <f aca="false">TRUE()</f>
        <v>1</v>
      </c>
      <c r="H72" s="1" t="n">
        <f aca="false">TRUE()</f>
        <v>1</v>
      </c>
      <c r="I72" s="1" t="n">
        <f aca="false">TRUE()</f>
        <v>1</v>
      </c>
      <c r="J72" s="1" t="n">
        <f aca="false">TRUE()</f>
        <v>1</v>
      </c>
      <c r="K72" s="0" t="n">
        <f aca="false">IFERROR(__xludf.dummyfunction("""COMPUTED_VALUE"""),72)</f>
        <v>72</v>
      </c>
    </row>
    <row r="73" customFormat="false" ht="15.75" hidden="false" customHeight="false" outlineLevel="0" collapsed="false">
      <c r="A73" s="0" t="str">
        <f aca="false">IFERROR(__xludf.dummyfunction("""COMPUTED_VALUE"""),"Горчакова")</f>
        <v>Горчакова</v>
      </c>
      <c r="B73" s="0" t="str">
        <f aca="false">IFERROR(__xludf.dummyfunction("""COMPUTED_VALUE"""),"Ярослава")</f>
        <v>Ярослава</v>
      </c>
      <c r="C73" s="0" t="n">
        <f aca="false">IFERROR(__xludf.dummyfunction("""COMPUTED_VALUE"""),8)</f>
        <v>8</v>
      </c>
      <c r="D73" s="0" t="n">
        <f aca="false">IFERROR(__xludf.dummyfunction("""COMPUTED_VALUE"""),117)</f>
        <v>117</v>
      </c>
      <c r="E73" s="12" t="str">
        <f aca="false">IFERROR(__xludf.dummyfunction("""COMPUTED_VALUE"""),"Практическая психология")</f>
        <v>Практическая психология</v>
      </c>
      <c r="F73" s="1" t="n">
        <f aca="false">TRUE()</f>
        <v>1</v>
      </c>
      <c r="G73" s="1" t="n">
        <f aca="false">TRUE()</f>
        <v>1</v>
      </c>
      <c r="H73" s="1" t="n">
        <f aca="false">TRUE()</f>
        <v>1</v>
      </c>
      <c r="I73" s="1" t="n">
        <f aca="false">TRUE()</f>
        <v>1</v>
      </c>
      <c r="J73" s="1" t="n">
        <f aca="false">TRUE()</f>
        <v>1</v>
      </c>
      <c r="K73" s="0" t="n">
        <f aca="false">IFERROR(__xludf.dummyfunction("""COMPUTED_VALUE"""),45)</f>
        <v>45</v>
      </c>
    </row>
    <row r="74" customFormat="false" ht="15.75" hidden="false" customHeight="false" outlineLevel="0" collapsed="false">
      <c r="A74" s="0" t="str">
        <f aca="false">IFERROR(__xludf.dummyfunction("""COMPUTED_VALUE"""),"Джураева")</f>
        <v>Джураева</v>
      </c>
      <c r="B74" s="0" t="str">
        <f aca="false">IFERROR(__xludf.dummyfunction("""COMPUTED_VALUE"""),"Рената")</f>
        <v>Рената</v>
      </c>
      <c r="C74" s="0" t="n">
        <f aca="false">IFERROR(__xludf.dummyfunction("""COMPUTED_VALUE"""),10)</f>
        <v>10</v>
      </c>
      <c r="D74" s="0" t="n">
        <f aca="false">IFERROR(__xludf.dummyfunction("""COMPUTED_VALUE"""),64)</f>
        <v>64</v>
      </c>
      <c r="E74" s="12" t="str">
        <f aca="false">IFERROR(__xludf.dummyfunction("""COMPUTED_VALUE"""),"Практическая психология")</f>
        <v>Практическая психология</v>
      </c>
      <c r="F74" s="1" t="n">
        <f aca="false">TRUE()</f>
        <v>1</v>
      </c>
      <c r="G74" s="1" t="n">
        <f aca="false">TRUE()</f>
        <v>1</v>
      </c>
      <c r="H74" s="1" t="n">
        <f aca="false">FALSE()</f>
        <v>0</v>
      </c>
      <c r="I74" s="1" t="n">
        <f aca="false">TRUE()</f>
        <v>1</v>
      </c>
      <c r="J74" s="1" t="n">
        <f aca="false">FALSE()</f>
        <v>0</v>
      </c>
      <c r="K74" s="0" t="n">
        <f aca="false">IFERROR(__xludf.dummyfunction("""COMPUTED_VALUE"""),8)</f>
        <v>8</v>
      </c>
    </row>
    <row r="75" customFormat="false" ht="15.75" hidden="false" customHeight="false" outlineLevel="0" collapsed="false">
      <c r="A75" s="0" t="str">
        <f aca="false">IFERROR(__xludf.dummyfunction("""COMPUTED_VALUE"""),"Дмитриева ")</f>
        <v>Дмитриева</v>
      </c>
      <c r="B75" s="0" t="str">
        <f aca="false">IFERROR(__xludf.dummyfunction("""COMPUTED_VALUE"""),"Елизавета ")</f>
        <v>Елизавета</v>
      </c>
      <c r="C75" s="0" t="n">
        <f aca="false">IFERROR(__xludf.dummyfunction("""COMPUTED_VALUE"""),9)</f>
        <v>9</v>
      </c>
      <c r="D75" s="0" t="n">
        <f aca="false">IFERROR(__xludf.dummyfunction("""COMPUTED_VALUE"""),139)</f>
        <v>139</v>
      </c>
      <c r="E75" s="12" t="str">
        <f aca="false">IFERROR(__xludf.dummyfunction("""COMPUTED_VALUE"""),"Практическая психология")</f>
        <v>Практическая психология</v>
      </c>
      <c r="F75" s="1" t="n">
        <f aca="false">TRUE()</f>
        <v>1</v>
      </c>
      <c r="G75" s="1" t="n">
        <f aca="false">TRUE()</f>
        <v>1</v>
      </c>
      <c r="H75" s="1" t="n">
        <f aca="false">TRUE()</f>
        <v>1</v>
      </c>
      <c r="I75" s="1" t="n">
        <f aca="false">TRUE()</f>
        <v>1</v>
      </c>
      <c r="J75" s="1" t="n">
        <f aca="false">TRUE()</f>
        <v>1</v>
      </c>
      <c r="K75" s="0" t="n">
        <f aca="false">IFERROR(__xludf.dummyfunction("""COMPUTED_VALUE"""),51)</f>
        <v>51</v>
      </c>
    </row>
    <row r="76" customFormat="false" ht="15.75" hidden="false" customHeight="false" outlineLevel="0" collapsed="false">
      <c r="A76" s="0" t="str">
        <f aca="false">IFERROR(__xludf.dummyfunction("""COMPUTED_VALUE"""),"Зернюк")</f>
        <v>Зернюк</v>
      </c>
      <c r="B76" s="0" t="str">
        <f aca="false">IFERROR(__xludf.dummyfunction("""COMPUTED_VALUE"""),"Андрей")</f>
        <v>Андрей</v>
      </c>
      <c r="C76" s="0" t="n">
        <f aca="false">IFERROR(__xludf.dummyfunction("""COMPUTED_VALUE"""),9)</f>
        <v>9</v>
      </c>
      <c r="D76" s="0" t="n">
        <f aca="false">IFERROR(__xludf.dummyfunction("""COMPUTED_VALUE"""),117)</f>
        <v>117</v>
      </c>
      <c r="E76" s="12" t="str">
        <f aca="false">IFERROR(__xludf.dummyfunction("""COMPUTED_VALUE"""),"Практическая психология")</f>
        <v>Практическая психология</v>
      </c>
      <c r="F76" s="1" t="n">
        <f aca="false">FALSE()</f>
        <v>0</v>
      </c>
      <c r="G76" s="1" t="n">
        <f aca="false">FALSE()</f>
        <v>0</v>
      </c>
      <c r="H76" s="1" t="n">
        <f aca="false">FALSE()</f>
        <v>0</v>
      </c>
      <c r="I76" s="1" t="n">
        <f aca="false">FALSE()</f>
        <v>0</v>
      </c>
      <c r="J76" s="1" t="n">
        <f aca="false">FALSE()</f>
        <v>0</v>
      </c>
      <c r="K76" s="0" t="n">
        <f aca="false">IFERROR(__xludf.dummyfunction("""COMPUTED_VALUE"""),69)</f>
        <v>69</v>
      </c>
    </row>
    <row r="77" customFormat="false" ht="15.75" hidden="false" customHeight="false" outlineLevel="0" collapsed="false">
      <c r="A77" s="0" t="str">
        <f aca="false">IFERROR(__xludf.dummyfunction("""COMPUTED_VALUE"""),"Исаева")</f>
        <v>Исаева</v>
      </c>
      <c r="B77" s="0" t="str">
        <f aca="false">IFERROR(__xludf.dummyfunction("""COMPUTED_VALUE"""),"Анна")</f>
        <v>Анна</v>
      </c>
      <c r="C77" s="0" t="n">
        <f aca="false">IFERROR(__xludf.dummyfunction("""COMPUTED_VALUE"""),10)</f>
        <v>10</v>
      </c>
      <c r="D77" s="0" t="n">
        <f aca="false">IFERROR(__xludf.dummyfunction("""COMPUTED_VALUE"""),64)</f>
        <v>64</v>
      </c>
      <c r="E77" s="12" t="str">
        <f aca="false">IFERROR(__xludf.dummyfunction("""COMPUTED_VALUE"""),"Практическая психология")</f>
        <v>Практическая психология</v>
      </c>
      <c r="F77" s="1" t="n">
        <f aca="false">TRUE()</f>
        <v>1</v>
      </c>
      <c r="G77" s="1" t="n">
        <f aca="false">TRUE()</f>
        <v>1</v>
      </c>
      <c r="H77" s="1" t="n">
        <f aca="false">TRUE()</f>
        <v>1</v>
      </c>
      <c r="I77" s="1" t="n">
        <f aca="false">TRUE()</f>
        <v>1</v>
      </c>
      <c r="J77" s="1" t="n">
        <f aca="false">TRUE()</f>
        <v>1</v>
      </c>
      <c r="K77" s="0" t="n">
        <f aca="false">IFERROR(__xludf.dummyfunction("""COMPUTED_VALUE"""),9)</f>
        <v>9</v>
      </c>
    </row>
    <row r="78" customFormat="false" ht="15.75" hidden="false" customHeight="false" outlineLevel="0" collapsed="false">
      <c r="A78" s="0" t="str">
        <f aca="false">IFERROR(__xludf.dummyfunction("""COMPUTED_VALUE"""),"Куличенко ")</f>
        <v>Куличенко</v>
      </c>
      <c r="B78" s="0" t="str">
        <f aca="false">IFERROR(__xludf.dummyfunction("""COMPUTED_VALUE"""),"Катя")</f>
        <v>Катя</v>
      </c>
      <c r="C78" s="0" t="n">
        <f aca="false">IFERROR(__xludf.dummyfunction("""COMPUTED_VALUE"""),8)</f>
        <v>8</v>
      </c>
      <c r="D78" s="0" t="n">
        <f aca="false">IFERROR(__xludf.dummyfunction("""COMPUTED_VALUE"""),117)</f>
        <v>117</v>
      </c>
      <c r="E78" s="12" t="str">
        <f aca="false">IFERROR(__xludf.dummyfunction("""COMPUTED_VALUE"""),"Практическая психология")</f>
        <v>Практическая психология</v>
      </c>
      <c r="F78" s="1" t="n">
        <f aca="false">TRUE()</f>
        <v>1</v>
      </c>
      <c r="G78" s="1" t="n">
        <f aca="false">TRUE()</f>
        <v>1</v>
      </c>
      <c r="H78" s="1" t="n">
        <f aca="false">TRUE()</f>
        <v>1</v>
      </c>
      <c r="I78" s="1" t="n">
        <f aca="false">TRUE()</f>
        <v>1</v>
      </c>
      <c r="J78" s="1" t="n">
        <f aca="false">TRUE()</f>
        <v>1</v>
      </c>
      <c r="K78" s="0" t="n">
        <f aca="false">IFERROR(__xludf.dummyfunction("""COMPUTED_VALUE"""),13)</f>
        <v>13</v>
      </c>
    </row>
    <row r="79" customFormat="false" ht="15.75" hidden="false" customHeight="false" outlineLevel="0" collapsed="false">
      <c r="A79" s="0" t="str">
        <f aca="false">IFERROR(__xludf.dummyfunction("""COMPUTED_VALUE"""),"Локтева ")</f>
        <v>Локтева</v>
      </c>
      <c r="B79" s="0" t="str">
        <f aca="false">IFERROR(__xludf.dummyfunction("""COMPUTED_VALUE"""),"Полина ")</f>
        <v>Полина</v>
      </c>
      <c r="C79" s="0" t="n">
        <f aca="false">IFERROR(__xludf.dummyfunction("""COMPUTED_VALUE"""),10)</f>
        <v>10</v>
      </c>
      <c r="D79" s="0" t="n">
        <f aca="false">IFERROR(__xludf.dummyfunction("""COMPUTED_VALUE"""),26)</f>
        <v>26</v>
      </c>
      <c r="E79" s="12" t="str">
        <f aca="false">IFERROR(__xludf.dummyfunction("""COMPUTED_VALUE"""),"Практическая психология")</f>
        <v>Практическая психология</v>
      </c>
      <c r="F79" s="1" t="n">
        <f aca="false">TRUE()</f>
        <v>1</v>
      </c>
      <c r="G79" s="1" t="n">
        <f aca="false">TRUE()</f>
        <v>1</v>
      </c>
      <c r="H79" s="1" t="n">
        <f aca="false">TRUE()</f>
        <v>1</v>
      </c>
      <c r="I79" s="1" t="n">
        <f aca="false">TRUE()</f>
        <v>1</v>
      </c>
      <c r="J79" s="1" t="n">
        <f aca="false">FALSE()</f>
        <v>0</v>
      </c>
      <c r="K79" s="0" t="n">
        <f aca="false">IFERROR(__xludf.dummyfunction("""COMPUTED_VALUE"""),28)</f>
        <v>28</v>
      </c>
    </row>
    <row r="80" customFormat="false" ht="15.75" hidden="false" customHeight="false" outlineLevel="0" collapsed="false">
      <c r="A80" s="0" t="str">
        <f aca="false">IFERROR(__xludf.dummyfunction("""COMPUTED_VALUE"""),"Макарова")</f>
        <v>Макарова</v>
      </c>
      <c r="B80" s="0" t="str">
        <f aca="false">IFERROR(__xludf.dummyfunction("""COMPUTED_VALUE"""),"Елизавета")</f>
        <v>Елизавета</v>
      </c>
      <c r="C80" s="0" t="n">
        <f aca="false">IFERROR(__xludf.dummyfunction("""COMPUTED_VALUE"""),9)</f>
        <v>9</v>
      </c>
      <c r="D80" s="0" t="n">
        <f aca="false">IFERROR(__xludf.dummyfunction("""COMPUTED_VALUE"""),74)</f>
        <v>74</v>
      </c>
      <c r="E80" s="12" t="str">
        <f aca="false">IFERROR(__xludf.dummyfunction("""COMPUTED_VALUE"""),"Практическая психология")</f>
        <v>Практическая психология</v>
      </c>
      <c r="F80" s="1" t="n">
        <f aca="false">TRUE()</f>
        <v>1</v>
      </c>
      <c r="G80" s="1" t="n">
        <f aca="false">FALSE()</f>
        <v>0</v>
      </c>
      <c r="H80" s="1" t="n">
        <f aca="false">TRUE()</f>
        <v>1</v>
      </c>
      <c r="I80" s="1" t="n">
        <f aca="false">TRUE()</f>
        <v>1</v>
      </c>
      <c r="J80" s="1" t="n">
        <f aca="false">FALSE()</f>
        <v>0</v>
      </c>
      <c r="K80" s="0" t="n">
        <f aca="false">IFERROR(__xludf.dummyfunction("""COMPUTED_VALUE"""),36)</f>
        <v>36</v>
      </c>
    </row>
    <row r="81" customFormat="false" ht="15.75" hidden="false" customHeight="false" outlineLevel="0" collapsed="false">
      <c r="A81" s="0" t="str">
        <f aca="false">IFERROR(__xludf.dummyfunction("""COMPUTED_VALUE"""),"Мужева")</f>
        <v>Мужева</v>
      </c>
      <c r="B81" s="0" t="str">
        <f aca="false">IFERROR(__xludf.dummyfunction("""COMPUTED_VALUE"""),"Ксения")</f>
        <v>Ксения</v>
      </c>
      <c r="C81" s="0" t="n">
        <f aca="false">IFERROR(__xludf.dummyfunction("""COMPUTED_VALUE"""),10)</f>
        <v>10</v>
      </c>
      <c r="D81" s="0" t="n">
        <f aca="false">IFERROR(__xludf.dummyfunction("""COMPUTED_VALUE"""),166)</f>
        <v>166</v>
      </c>
      <c r="E81" s="12" t="str">
        <f aca="false">IFERROR(__xludf.dummyfunction("""COMPUTED_VALUE"""),"Практическая психология")</f>
        <v>Практическая психология</v>
      </c>
      <c r="F81" s="1" t="n">
        <f aca="false">TRUE()</f>
        <v>1</v>
      </c>
      <c r="G81" s="1" t="n">
        <f aca="false">TRUE()</f>
        <v>1</v>
      </c>
      <c r="H81" s="1" t="n">
        <f aca="false">TRUE()</f>
        <v>1</v>
      </c>
      <c r="I81" s="1" t="n">
        <f aca="false">TRUE()</f>
        <v>1</v>
      </c>
      <c r="J81" s="1" t="n">
        <f aca="false">TRUE()</f>
        <v>1</v>
      </c>
      <c r="K81" s="0" t="n">
        <f aca="false">IFERROR(__xludf.dummyfunction("""COMPUTED_VALUE"""),66)</f>
        <v>66</v>
      </c>
    </row>
    <row r="82" customFormat="false" ht="15.75" hidden="false" customHeight="false" outlineLevel="0" collapsed="false">
      <c r="A82" s="0" t="str">
        <f aca="false">IFERROR(__xludf.dummyfunction("""COMPUTED_VALUE"""),"Недобойко")</f>
        <v>Недобойко</v>
      </c>
      <c r="B82" s="0" t="str">
        <f aca="false">IFERROR(__xludf.dummyfunction("""COMPUTED_VALUE"""),"Полина ")</f>
        <v>Полина</v>
      </c>
      <c r="C82" s="0" t="n">
        <f aca="false">IFERROR(__xludf.dummyfunction("""COMPUTED_VALUE"""),9)</f>
        <v>9</v>
      </c>
      <c r="D82" s="0" t="n">
        <f aca="false">IFERROR(__xludf.dummyfunction("""COMPUTED_VALUE"""),117)</f>
        <v>117</v>
      </c>
      <c r="E82" s="12" t="str">
        <f aca="false">IFERROR(__xludf.dummyfunction("""COMPUTED_VALUE"""),"Практическая психология")</f>
        <v>Практическая психология</v>
      </c>
      <c r="F82" s="1" t="n">
        <f aca="false">TRUE()</f>
        <v>1</v>
      </c>
      <c r="G82" s="1" t="n">
        <f aca="false">TRUE()</f>
        <v>1</v>
      </c>
      <c r="H82" s="1" t="n">
        <f aca="false">TRUE()</f>
        <v>1</v>
      </c>
      <c r="I82" s="1" t="n">
        <f aca="false">TRUE()</f>
        <v>1</v>
      </c>
      <c r="J82" s="1" t="n">
        <f aca="false">TRUE()</f>
        <v>1</v>
      </c>
      <c r="K82" s="0" t="n">
        <f aca="false">IFERROR(__xludf.dummyfunction("""COMPUTED_VALUE"""),21)</f>
        <v>21</v>
      </c>
    </row>
    <row r="83" customFormat="false" ht="15.75" hidden="false" customHeight="false" outlineLevel="0" collapsed="false">
      <c r="A83" s="0" t="str">
        <f aca="false">IFERROR(__xludf.dummyfunction("""COMPUTED_VALUE"""),"Нуркушева")</f>
        <v>Нуркушева</v>
      </c>
      <c r="B83" s="0" t="str">
        <f aca="false">IFERROR(__xludf.dummyfunction("""COMPUTED_VALUE"""),"Асель")</f>
        <v>Асель</v>
      </c>
      <c r="C83" s="0" t="n">
        <f aca="false">IFERROR(__xludf.dummyfunction("""COMPUTED_VALUE"""),8)</f>
        <v>8</v>
      </c>
      <c r="D83" s="0" t="n">
        <f aca="false">IFERROR(__xludf.dummyfunction("""COMPUTED_VALUE"""),117)</f>
        <v>117</v>
      </c>
      <c r="E83" s="12" t="str">
        <f aca="false">IFERROR(__xludf.dummyfunction("""COMPUTED_VALUE"""),"Практическая психология")</f>
        <v>Практическая психология</v>
      </c>
      <c r="F83" s="1" t="n">
        <f aca="false">TRUE()</f>
        <v>1</v>
      </c>
      <c r="G83" s="1" t="n">
        <f aca="false">TRUE()</f>
        <v>1</v>
      </c>
      <c r="H83" s="1" t="n">
        <f aca="false">FALSE()</f>
        <v>0</v>
      </c>
      <c r="I83" s="1" t="n">
        <f aca="false">FALSE()</f>
        <v>0</v>
      </c>
      <c r="J83" s="1" t="n">
        <f aca="false">TRUE()</f>
        <v>1</v>
      </c>
      <c r="K83" s="0" t="n">
        <f aca="false">IFERROR(__xludf.dummyfunction("""COMPUTED_VALUE"""),65)</f>
        <v>65</v>
      </c>
    </row>
    <row r="84" customFormat="false" ht="15.75" hidden="false" customHeight="false" outlineLevel="0" collapsed="false">
      <c r="A84" s="0" t="str">
        <f aca="false">IFERROR(__xludf.dummyfunction("""COMPUTED_VALUE"""),"Папакина")</f>
        <v>Папакина</v>
      </c>
      <c r="B84" s="0" t="str">
        <f aca="false">IFERROR(__xludf.dummyfunction("""COMPUTED_VALUE"""),"Софья")</f>
        <v>Софья</v>
      </c>
      <c r="C84" s="0" t="n">
        <f aca="false">IFERROR(__xludf.dummyfunction("""COMPUTED_VALUE"""),10)</f>
        <v>10</v>
      </c>
      <c r="D84" s="0" t="n">
        <f aca="false">IFERROR(__xludf.dummyfunction("""COMPUTED_VALUE"""),117)</f>
        <v>117</v>
      </c>
      <c r="E84" s="12" t="str">
        <f aca="false">IFERROR(__xludf.dummyfunction("""COMPUTED_VALUE"""),"Практическая психология")</f>
        <v>Практическая психология</v>
      </c>
      <c r="F84" s="1" t="n">
        <f aca="false">FALSE()</f>
        <v>0</v>
      </c>
      <c r="G84" s="1" t="n">
        <f aca="false">FALSE()</f>
        <v>0</v>
      </c>
      <c r="H84" s="1" t="n">
        <f aca="false">FALSE()</f>
        <v>0</v>
      </c>
      <c r="I84" s="1" t="n">
        <f aca="false">FALSE()</f>
        <v>0</v>
      </c>
      <c r="J84" s="1" t="n">
        <f aca="false">TRUE()</f>
        <v>1</v>
      </c>
      <c r="K84" s="0" t="n">
        <f aca="false">IFERROR(__xludf.dummyfunction("""COMPUTED_VALUE"""),55)</f>
        <v>55</v>
      </c>
    </row>
    <row r="85" customFormat="false" ht="15.75" hidden="false" customHeight="false" outlineLevel="0" collapsed="false">
      <c r="A85" s="0" t="str">
        <f aca="false">IFERROR(__xludf.dummyfunction("""COMPUTED_VALUE"""),"Скрипкина")</f>
        <v>Скрипкина</v>
      </c>
      <c r="B85" s="0" t="str">
        <f aca="false">IFERROR(__xludf.dummyfunction("""COMPUTED_VALUE"""),"Вика")</f>
        <v>Вика</v>
      </c>
      <c r="C85" s="0" t="n">
        <f aca="false">IFERROR(__xludf.dummyfunction("""COMPUTED_VALUE"""),8)</f>
        <v>8</v>
      </c>
      <c r="D85" s="0" t="n">
        <f aca="false">IFERROR(__xludf.dummyfunction("""COMPUTED_VALUE"""),166)</f>
        <v>166</v>
      </c>
      <c r="E85" s="12" t="str">
        <f aca="false">IFERROR(__xludf.dummyfunction("""COMPUTED_VALUE"""),"Практическая психология")</f>
        <v>Практическая психология</v>
      </c>
      <c r="F85" s="1" t="n">
        <f aca="false">TRUE()</f>
        <v>1</v>
      </c>
      <c r="G85" s="1" t="n">
        <f aca="false">TRUE()</f>
        <v>1</v>
      </c>
      <c r="H85" s="1" t="n">
        <f aca="false">TRUE()</f>
        <v>1</v>
      </c>
      <c r="I85" s="1" t="n">
        <f aca="false">TRUE()</f>
        <v>1</v>
      </c>
      <c r="J85" s="1" t="n">
        <f aca="false">TRUE()</f>
        <v>1</v>
      </c>
      <c r="K85" s="0" t="n">
        <f aca="false">IFERROR(__xludf.dummyfunction("""COMPUTED_VALUE"""),20)</f>
        <v>20</v>
      </c>
    </row>
    <row r="86" customFormat="false" ht="15.75" hidden="false" customHeight="false" outlineLevel="0" collapsed="false">
      <c r="A86" s="0" t="str">
        <f aca="false">IFERROR(__xludf.dummyfunction("""COMPUTED_VALUE"""),"Сумленинова")</f>
        <v>Сумленинова</v>
      </c>
      <c r="B86" s="0" t="str">
        <f aca="false">IFERROR(__xludf.dummyfunction("""COMPUTED_VALUE"""),"Полина")</f>
        <v>Полина</v>
      </c>
      <c r="C86" s="0" t="n">
        <f aca="false">IFERROR(__xludf.dummyfunction("""COMPUTED_VALUE"""),8)</f>
        <v>8</v>
      </c>
      <c r="D86" s="0" t="n">
        <f aca="false">IFERROR(__xludf.dummyfunction("""COMPUTED_VALUE"""),117)</f>
        <v>117</v>
      </c>
      <c r="E86" s="12" t="str">
        <f aca="false">IFERROR(__xludf.dummyfunction("""COMPUTED_VALUE"""),"Практическая психология")</f>
        <v>Практическая психология</v>
      </c>
      <c r="F86" s="1" t="n">
        <f aca="false">TRUE()</f>
        <v>1</v>
      </c>
      <c r="G86" s="1" t="n">
        <f aca="false">TRUE()</f>
        <v>1</v>
      </c>
      <c r="H86" s="1" t="n">
        <f aca="false">TRUE()</f>
        <v>1</v>
      </c>
      <c r="I86" s="1" t="n">
        <f aca="false">TRUE()</f>
        <v>1</v>
      </c>
      <c r="J86" s="1" t="n">
        <f aca="false">TRUE()</f>
        <v>1</v>
      </c>
      <c r="K86" s="0" t="n">
        <f aca="false">IFERROR(__xludf.dummyfunction("""COMPUTED_VALUE"""),63)</f>
        <v>63</v>
      </c>
    </row>
    <row r="87" customFormat="false" ht="15.75" hidden="false" customHeight="false" outlineLevel="0" collapsed="false">
      <c r="A87" s="0" t="str">
        <f aca="false">IFERROR(__xludf.dummyfunction("""COMPUTED_VALUE"""),"таранова")</f>
        <v>таранова</v>
      </c>
      <c r="B87" s="0" t="str">
        <f aca="false">IFERROR(__xludf.dummyfunction("""COMPUTED_VALUE"""),"екатерина")</f>
        <v>екатерина</v>
      </c>
      <c r="C87" s="0" t="n">
        <f aca="false">IFERROR(__xludf.dummyfunction("""COMPUTED_VALUE"""),9)</f>
        <v>9</v>
      </c>
      <c r="D87" s="0" t="n">
        <f aca="false">IFERROR(__xludf.dummyfunction("""COMPUTED_VALUE"""),7)</f>
        <v>7</v>
      </c>
      <c r="E87" s="12" t="str">
        <f aca="false">IFERROR(__xludf.dummyfunction("""COMPUTED_VALUE"""),"Практическая психология")</f>
        <v>Практическая психология</v>
      </c>
      <c r="F87" s="1" t="n">
        <f aca="false">TRUE()</f>
        <v>1</v>
      </c>
      <c r="G87" s="1" t="n">
        <f aca="false">TRUE()</f>
        <v>1</v>
      </c>
      <c r="H87" s="1" t="n">
        <f aca="false">TRUE()</f>
        <v>1</v>
      </c>
      <c r="I87" s="1" t="n">
        <f aca="false">TRUE()</f>
        <v>1</v>
      </c>
      <c r="J87" s="1" t="n">
        <f aca="false">TRUE()</f>
        <v>1</v>
      </c>
      <c r="K87" s="0" t="n">
        <f aca="false">IFERROR(__xludf.dummyfunction("""COMPUTED_VALUE"""),15)</f>
        <v>15</v>
      </c>
    </row>
    <row r="88" customFormat="false" ht="15.75" hidden="false" customHeight="false" outlineLevel="0" collapsed="false">
      <c r="A88" s="0" t="str">
        <f aca="false">IFERROR(__xludf.dummyfunction("""COMPUTED_VALUE"""),"Тепляшина ")</f>
        <v>Тепляшина</v>
      </c>
      <c r="B88" s="0" t="str">
        <f aca="false">IFERROR(__xludf.dummyfunction("""COMPUTED_VALUE"""),"Анастасия ")</f>
        <v>Анастасия</v>
      </c>
      <c r="C88" s="0" t="n">
        <f aca="false">IFERROR(__xludf.dummyfunction("""COMPUTED_VALUE"""),9)</f>
        <v>9</v>
      </c>
      <c r="D88" s="0" t="n">
        <f aca="false">IFERROR(__xludf.dummyfunction("""COMPUTED_VALUE"""),139)</f>
        <v>139</v>
      </c>
      <c r="E88" s="12" t="str">
        <f aca="false">IFERROR(__xludf.dummyfunction("""COMPUTED_VALUE"""),"Практическая психология")</f>
        <v>Практическая психология</v>
      </c>
      <c r="F88" s="1" t="n">
        <f aca="false">TRUE()</f>
        <v>1</v>
      </c>
      <c r="G88" s="1" t="n">
        <f aca="false">TRUE()</f>
        <v>1</v>
      </c>
      <c r="H88" s="1" t="n">
        <f aca="false">TRUE()</f>
        <v>1</v>
      </c>
      <c r="I88" s="1" t="n">
        <f aca="false">TRUE()</f>
        <v>1</v>
      </c>
      <c r="J88" s="1" t="n">
        <f aca="false">TRUE()</f>
        <v>1</v>
      </c>
      <c r="K88" s="0" t="n">
        <f aca="false">IFERROR(__xludf.dummyfunction("""COMPUTED_VALUE"""),27)</f>
        <v>27</v>
      </c>
    </row>
    <row r="89" customFormat="false" ht="15.75" hidden="false" customHeight="false" outlineLevel="0" collapsed="false">
      <c r="A89" s="0" t="str">
        <f aca="false">IFERROR(__xludf.dummyfunction("""COMPUTED_VALUE"""),"Удовиченко ")</f>
        <v>Удовиченко</v>
      </c>
      <c r="B89" s="0" t="str">
        <f aca="false">IFERROR(__xludf.dummyfunction("""COMPUTED_VALUE"""),"Вероника")</f>
        <v>Вероника</v>
      </c>
      <c r="C89" s="0" t="n">
        <f aca="false">IFERROR(__xludf.dummyfunction("""COMPUTED_VALUE"""),8)</f>
        <v>8</v>
      </c>
      <c r="D89" s="0" t="n">
        <f aca="false">IFERROR(__xludf.dummyfunction("""COMPUTED_VALUE"""),117)</f>
        <v>117</v>
      </c>
      <c r="E89" s="12" t="str">
        <f aca="false">IFERROR(__xludf.dummyfunction("""COMPUTED_VALUE"""),"Практическая психология")</f>
        <v>Практическая психология</v>
      </c>
      <c r="F89" s="1" t="n">
        <f aca="false">TRUE()</f>
        <v>1</v>
      </c>
      <c r="G89" s="1" t="n">
        <f aca="false">TRUE()</f>
        <v>1</v>
      </c>
      <c r="H89" s="1" t="n">
        <f aca="false">TRUE()</f>
        <v>1</v>
      </c>
      <c r="I89" s="1" t="n">
        <f aca="false">TRUE()</f>
        <v>1</v>
      </c>
      <c r="J89" s="1" t="n">
        <f aca="false">TRUE()</f>
        <v>1</v>
      </c>
      <c r="K89" s="0" t="n">
        <f aca="false">IFERROR(__xludf.dummyfunction("""COMPUTED_VALUE"""),30)</f>
        <v>30</v>
      </c>
    </row>
    <row r="90" customFormat="false" ht="15.75" hidden="false" customHeight="false" outlineLevel="0" collapsed="false">
      <c r="A90" s="0" t="str">
        <f aca="false">IFERROR(__xludf.dummyfunction("""COMPUTED_VALUE"""),"Усова")</f>
        <v>Усова</v>
      </c>
      <c r="B90" s="0" t="str">
        <f aca="false">IFERROR(__xludf.dummyfunction("""COMPUTED_VALUE"""),"Вероника")</f>
        <v>Вероника</v>
      </c>
      <c r="C90" s="0" t="n">
        <f aca="false">IFERROR(__xludf.dummyfunction("""COMPUTED_VALUE"""),7)</f>
        <v>7</v>
      </c>
      <c r="D90" s="0" t="n">
        <f aca="false">IFERROR(__xludf.dummyfunction("""COMPUTED_VALUE"""),117)</f>
        <v>117</v>
      </c>
      <c r="E90" s="12" t="str">
        <f aca="false">IFERROR(__xludf.dummyfunction("""COMPUTED_VALUE"""),"Практическая психология")</f>
        <v>Практическая психология</v>
      </c>
      <c r="F90" s="1" t="n">
        <f aca="false">TRUE()</f>
        <v>1</v>
      </c>
      <c r="G90" s="1" t="n">
        <f aca="false">TRUE()</f>
        <v>1</v>
      </c>
      <c r="H90" s="1" t="n">
        <f aca="false">TRUE()</f>
        <v>1</v>
      </c>
      <c r="I90" s="1" t="n">
        <f aca="false">TRUE()</f>
        <v>1</v>
      </c>
      <c r="J90" s="1" t="n">
        <f aca="false">TRUE()</f>
        <v>1</v>
      </c>
      <c r="K90" s="0" t="n">
        <f aca="false">IFERROR(__xludf.dummyfunction("""COMPUTED_VALUE"""),4)</f>
        <v>4</v>
      </c>
    </row>
    <row r="91" customFormat="false" ht="15.75" hidden="false" customHeight="false" outlineLevel="0" collapsed="false">
      <c r="A91" s="0" t="str">
        <f aca="false">IFERROR(__xludf.dummyfunction("""COMPUTED_VALUE"""),"Шадёркина")</f>
        <v>Шадёркина</v>
      </c>
      <c r="B91" s="0" t="str">
        <f aca="false">IFERROR(__xludf.dummyfunction("""COMPUTED_VALUE"""),"Даша")</f>
        <v>Даша</v>
      </c>
      <c r="C91" s="0" t="n">
        <f aca="false">IFERROR(__xludf.dummyfunction("""COMPUTED_VALUE"""),9)</f>
        <v>9</v>
      </c>
      <c r="D91" s="0" t="n">
        <f aca="false">IFERROR(__xludf.dummyfunction("""COMPUTED_VALUE"""),117)</f>
        <v>117</v>
      </c>
      <c r="E91" s="12" t="str">
        <f aca="false">IFERROR(__xludf.dummyfunction("""COMPUTED_VALUE"""),"Практическая психология")</f>
        <v>Практическая психология</v>
      </c>
      <c r="F91" s="1" t="n">
        <f aca="false">TRUE()</f>
        <v>1</v>
      </c>
      <c r="G91" s="1" t="n">
        <f aca="false">TRUE()</f>
        <v>1</v>
      </c>
      <c r="H91" s="1" t="n">
        <f aca="false">TRUE()</f>
        <v>1</v>
      </c>
      <c r="I91" s="1" t="n">
        <f aca="false">TRUE()</f>
        <v>1</v>
      </c>
      <c r="J91" s="1" t="n">
        <f aca="false">TRUE()</f>
        <v>1</v>
      </c>
      <c r="K91" s="0" t="n">
        <f aca="false">IFERROR(__xludf.dummyfunction("""COMPUTED_VALUE"""),18)</f>
        <v>18</v>
      </c>
    </row>
    <row r="92" customFormat="false" ht="15.75" hidden="false" customHeight="false" outlineLevel="0" collapsed="false">
      <c r="A92" s="0" t="str">
        <f aca="false">IFERROR(__xludf.dummyfunction("""COMPUTED_VALUE"""),"Шлыкова")</f>
        <v>Шлыкова</v>
      </c>
      <c r="B92" s="0" t="str">
        <f aca="false">IFERROR(__xludf.dummyfunction("""COMPUTED_VALUE"""),"Валерия ")</f>
        <v>Валерия</v>
      </c>
      <c r="C92" s="0" t="n">
        <f aca="false">IFERROR(__xludf.dummyfunction("""COMPUTED_VALUE"""),9)</f>
        <v>9</v>
      </c>
      <c r="D92" s="0" t="n">
        <f aca="false">IFERROR(__xludf.dummyfunction("""COMPUTED_VALUE"""),117)</f>
        <v>117</v>
      </c>
      <c r="E92" s="12" t="str">
        <f aca="false">IFERROR(__xludf.dummyfunction("""COMPUTED_VALUE"""),"Практическая психология")</f>
        <v>Практическая психология</v>
      </c>
      <c r="F92" s="1" t="n">
        <f aca="false">TRUE()</f>
        <v>1</v>
      </c>
      <c r="G92" s="1" t="n">
        <f aca="false">TRUE()</f>
        <v>1</v>
      </c>
      <c r="H92" s="1" t="n">
        <f aca="false">TRUE()</f>
        <v>1</v>
      </c>
      <c r="I92" s="1" t="n">
        <f aca="false">TRUE()</f>
        <v>1</v>
      </c>
      <c r="J92" s="1" t="n">
        <f aca="false">TRUE()</f>
        <v>1</v>
      </c>
      <c r="K92" s="0" t="n">
        <f aca="false">IFERROR(__xludf.dummyfunction("""COMPUTED_VALUE"""),90)</f>
        <v>90</v>
      </c>
    </row>
    <row r="93" customFormat="false" ht="15.75" hidden="false" customHeight="false" outlineLevel="0" collapsed="false">
      <c r="A93" s="0" t="str">
        <f aca="false">IFERROR(__xludf.dummyfunction("""COMPUTED_VALUE"""),"Шмидт")</f>
        <v>Шмидт</v>
      </c>
      <c r="B93" s="0" t="str">
        <f aca="false">IFERROR(__xludf.dummyfunction("""COMPUTED_VALUE"""),"Екатерина")</f>
        <v>Екатерина</v>
      </c>
      <c r="C93" s="0" t="n">
        <f aca="false">IFERROR(__xludf.dummyfunction("""COMPUTED_VALUE"""),7)</f>
        <v>7</v>
      </c>
      <c r="D93" s="0" t="n">
        <f aca="false">IFERROR(__xludf.dummyfunction("""COMPUTED_VALUE"""),7)</f>
        <v>7</v>
      </c>
      <c r="E93" s="12" t="str">
        <f aca="false">IFERROR(__xludf.dummyfunction("""COMPUTED_VALUE"""),"Практическая психология")</f>
        <v>Практическая психология</v>
      </c>
      <c r="F93" s="1" t="n">
        <f aca="false">TRUE()</f>
        <v>1</v>
      </c>
      <c r="G93" s="1" t="n">
        <f aca="false">TRUE()</f>
        <v>1</v>
      </c>
      <c r="H93" s="1" t="n">
        <f aca="false">TRUE()</f>
        <v>1</v>
      </c>
      <c r="I93" s="1" t="n">
        <f aca="false">TRUE()</f>
        <v>1</v>
      </c>
      <c r="J93" s="1" t="n">
        <f aca="false">TRUE()</f>
        <v>1</v>
      </c>
      <c r="K93" s="0" t="n">
        <f aca="false">IFERROR(__xludf.dummyfunction("""COMPUTED_VALUE"""),26)</f>
        <v>26</v>
      </c>
    </row>
    <row r="94" customFormat="false" ht="15.75" hidden="false" customHeight="false" outlineLevel="0" collapsed="false">
      <c r="A94" s="0" t="str">
        <f aca="false">IFERROR(__xludf.dummyfunction("""COMPUTED_VALUE"""),"Яковлева")</f>
        <v>Яковлева</v>
      </c>
      <c r="B94" s="0" t="str">
        <f aca="false">IFERROR(__xludf.dummyfunction("""COMPUTED_VALUE"""),"Евгения")</f>
        <v>Евгения</v>
      </c>
      <c r="C94" s="0" t="n">
        <f aca="false">IFERROR(__xludf.dummyfunction("""COMPUTED_VALUE"""),10)</f>
        <v>10</v>
      </c>
      <c r="D94" s="0" t="n">
        <f aca="false">IFERROR(__xludf.dummyfunction("""COMPUTED_VALUE"""),166)</f>
        <v>166</v>
      </c>
      <c r="E94" s="12" t="str">
        <f aca="false">IFERROR(__xludf.dummyfunction("""COMPUTED_VALUE"""),"Практическая психология")</f>
        <v>Практическая психология</v>
      </c>
      <c r="F94" s="1" t="n">
        <f aca="false">TRUE()</f>
        <v>1</v>
      </c>
      <c r="G94" s="1" t="n">
        <f aca="false">TRUE()</f>
        <v>1</v>
      </c>
      <c r="H94" s="1" t="n">
        <f aca="false">TRUE()</f>
        <v>1</v>
      </c>
      <c r="I94" s="1" t="n">
        <f aca="false">TRUE()</f>
        <v>1</v>
      </c>
      <c r="J94" s="1" t="n">
        <f aca="false">TRUE()</f>
        <v>1</v>
      </c>
      <c r="K94" s="0" t="n">
        <f aca="false">IFERROR(__xludf.dummyfunction("""COMPUTED_VALUE"""),64)</f>
        <v>64</v>
      </c>
    </row>
    <row r="95" customFormat="false" ht="15.75" hidden="false" customHeight="false" outlineLevel="0" collapsed="false">
      <c r="A95" s="0" t="str">
        <f aca="false">IFERROR(__xludf.dummyfunction("""COMPUTED_VALUE"""),"Алексеев ")</f>
        <v>Алексеев</v>
      </c>
      <c r="B95" s="0" t="str">
        <f aca="false">IFERROR(__xludf.dummyfunction("""COMPUTED_VALUE"""),"Сергей")</f>
        <v>Сергей</v>
      </c>
      <c r="C95" s="0" t="n">
        <f aca="false">IFERROR(__xludf.dummyfunction("""COMPUTED_VALUE"""),10)</f>
        <v>10</v>
      </c>
      <c r="D95" s="0" t="n">
        <f aca="false">IFERROR(__xludf.dummyfunction("""COMPUTED_VALUE"""),117)</f>
        <v>117</v>
      </c>
      <c r="E95" s="12" t="str">
        <f aca="false">IFERROR(__xludf.dummyfunction("""COMPUTED_VALUE"""),"Прикладное право")</f>
        <v>Прикладное право</v>
      </c>
      <c r="F95" s="1" t="n">
        <f aca="false">FALSE()</f>
        <v>0</v>
      </c>
      <c r="G95" s="1" t="n">
        <f aca="false">FALSE()</f>
        <v>0</v>
      </c>
      <c r="H95" s="1" t="n">
        <f aca="false">FALSE()</f>
        <v>0</v>
      </c>
      <c r="I95" s="1" t="n">
        <f aca="false">FALSE()</f>
        <v>0</v>
      </c>
      <c r="J95" s="1" t="n">
        <f aca="false">FALSE()</f>
        <v>0</v>
      </c>
      <c r="K95" s="0" t="n">
        <f aca="false">IFERROR(__xludf.dummyfunction("""COMPUTED_VALUE"""),114)</f>
        <v>114</v>
      </c>
    </row>
    <row r="96" customFormat="false" ht="15.75" hidden="false" customHeight="false" outlineLevel="0" collapsed="false">
      <c r="A96" s="0" t="str">
        <f aca="false">IFERROR(__xludf.dummyfunction("""COMPUTED_VALUE"""),"Булучевская")</f>
        <v>Булучевская</v>
      </c>
      <c r="B96" s="0" t="str">
        <f aca="false">IFERROR(__xludf.dummyfunction("""COMPUTED_VALUE"""),"Нина")</f>
        <v>Нина</v>
      </c>
      <c r="C96" s="0" t="n">
        <f aca="false">IFERROR(__xludf.dummyfunction("""COMPUTED_VALUE"""),9)</f>
        <v>9</v>
      </c>
      <c r="D96" s="0" t="n">
        <f aca="false">IFERROR(__xludf.dummyfunction("""COMPUTED_VALUE"""),117)</f>
        <v>117</v>
      </c>
      <c r="E96" s="12" t="str">
        <f aca="false">IFERROR(__xludf.dummyfunction("""COMPUTED_VALUE"""),"Прикладное право")</f>
        <v>Прикладное право</v>
      </c>
      <c r="F96" s="1" t="n">
        <f aca="false">TRUE()</f>
        <v>1</v>
      </c>
      <c r="G96" s="1" t="n">
        <f aca="false">TRUE()</f>
        <v>1</v>
      </c>
      <c r="H96" s="1" t="n">
        <f aca="false">TRUE()</f>
        <v>1</v>
      </c>
      <c r="I96" s="1" t="n">
        <f aca="false">FALSE()</f>
        <v>0</v>
      </c>
      <c r="J96" s="1" t="n">
        <f aca="false">FALSE()</f>
        <v>0</v>
      </c>
      <c r="K96" s="0" t="n">
        <f aca="false">IFERROR(__xludf.dummyfunction("""COMPUTED_VALUE"""),134)</f>
        <v>134</v>
      </c>
    </row>
    <row r="97" customFormat="false" ht="15.75" hidden="false" customHeight="false" outlineLevel="0" collapsed="false">
      <c r="A97" s="0" t="str">
        <f aca="false">IFERROR(__xludf.dummyfunction("""COMPUTED_VALUE"""),"Бурляев")</f>
        <v>Бурляев</v>
      </c>
      <c r="B97" s="0" t="str">
        <f aca="false">IFERROR(__xludf.dummyfunction("""COMPUTED_VALUE"""),"Илья")</f>
        <v>Илья</v>
      </c>
      <c r="C97" s="0" t="n">
        <f aca="false">IFERROR(__xludf.dummyfunction("""COMPUTED_VALUE"""),8)</f>
        <v>8</v>
      </c>
      <c r="D97" s="0" t="n">
        <f aca="false">IFERROR(__xludf.dummyfunction("""COMPUTED_VALUE"""),117)</f>
        <v>117</v>
      </c>
      <c r="E97" s="12" t="str">
        <f aca="false">IFERROR(__xludf.dummyfunction("""COMPUTED_VALUE"""),"Прикладное право")</f>
        <v>Прикладное право</v>
      </c>
      <c r="F97" s="1" t="n">
        <f aca="false">FALSE()</f>
        <v>0</v>
      </c>
      <c r="G97" s="1" t="n">
        <f aca="false">FALSE()</f>
        <v>0</v>
      </c>
      <c r="H97" s="1" t="n">
        <f aca="false">FALSE()</f>
        <v>0</v>
      </c>
      <c r="I97" s="1" t="n">
        <f aca="false">FALSE()</f>
        <v>0</v>
      </c>
      <c r="J97" s="1" t="n">
        <f aca="false">FALSE()</f>
        <v>0</v>
      </c>
      <c r="K97" s="0" t="n">
        <f aca="false">IFERROR(__xludf.dummyfunction("""COMPUTED_VALUE"""),80)</f>
        <v>80</v>
      </c>
    </row>
    <row r="98" customFormat="false" ht="15.75" hidden="false" customHeight="false" outlineLevel="0" collapsed="false">
      <c r="A98" s="0" t="str">
        <f aca="false">IFERROR(__xludf.dummyfunction("""COMPUTED_VALUE"""),"Васильев")</f>
        <v>Васильев</v>
      </c>
      <c r="B98" s="0" t="str">
        <f aca="false">IFERROR(__xludf.dummyfunction("""COMPUTED_VALUE"""),"Даниил")</f>
        <v>Даниил</v>
      </c>
      <c r="C98" s="0" t="n">
        <f aca="false">IFERROR(__xludf.dummyfunction("""COMPUTED_VALUE"""),9)</f>
        <v>9</v>
      </c>
      <c r="D98" s="0" t="n">
        <f aca="false">IFERROR(__xludf.dummyfunction("""COMPUTED_VALUE"""),117)</f>
        <v>117</v>
      </c>
      <c r="E98" s="12" t="str">
        <f aca="false">IFERROR(__xludf.dummyfunction("""COMPUTED_VALUE"""),"Прикладное право")</f>
        <v>Прикладное право</v>
      </c>
      <c r="F98" s="1" t="n">
        <f aca="false">TRUE()</f>
        <v>1</v>
      </c>
      <c r="G98" s="1" t="n">
        <f aca="false">TRUE()</f>
        <v>1</v>
      </c>
      <c r="H98" s="1" t="n">
        <f aca="false">TRUE()</f>
        <v>1</v>
      </c>
      <c r="I98" s="1" t="n">
        <f aca="false">TRUE()</f>
        <v>1</v>
      </c>
      <c r="J98" s="1" t="n">
        <f aca="false">TRUE()</f>
        <v>1</v>
      </c>
      <c r="K98" s="0" t="n">
        <f aca="false">IFERROR(__xludf.dummyfunction("""COMPUTED_VALUE"""),140)</f>
        <v>140</v>
      </c>
    </row>
    <row r="99" customFormat="false" ht="15.75" hidden="false" customHeight="false" outlineLevel="0" collapsed="false">
      <c r="A99" s="0" t="str">
        <f aca="false">IFERROR(__xludf.dummyfunction("""COMPUTED_VALUE"""),"Геталова")</f>
        <v>Геталова</v>
      </c>
      <c r="B99" s="0" t="str">
        <f aca="false">IFERROR(__xludf.dummyfunction("""COMPUTED_VALUE"""),"Ирина")</f>
        <v>Ирина</v>
      </c>
      <c r="C99" s="0" t="n">
        <f aca="false">IFERROR(__xludf.dummyfunction("""COMPUTED_VALUE"""),10)</f>
        <v>10</v>
      </c>
      <c r="D99" s="0" t="n">
        <f aca="false">IFERROR(__xludf.dummyfunction("""COMPUTED_VALUE"""),36)</f>
        <v>36</v>
      </c>
      <c r="E99" s="12" t="str">
        <f aca="false">IFERROR(__xludf.dummyfunction("""COMPUTED_VALUE"""),"Прикладное право")</f>
        <v>Прикладное право</v>
      </c>
      <c r="F99" s="1" t="n">
        <f aca="false">TRUE()</f>
        <v>1</v>
      </c>
      <c r="G99" s="1" t="n">
        <f aca="false">TRUE()</f>
        <v>1</v>
      </c>
      <c r="H99" s="1" t="n">
        <f aca="false">TRUE()</f>
        <v>1</v>
      </c>
      <c r="I99" s="1" t="n">
        <f aca="false">TRUE()</f>
        <v>1</v>
      </c>
      <c r="J99" s="1" t="n">
        <f aca="false">TRUE()</f>
        <v>1</v>
      </c>
      <c r="K99" s="0" t="n">
        <f aca="false">IFERROR(__xludf.dummyfunction("""COMPUTED_VALUE"""),52)</f>
        <v>52</v>
      </c>
    </row>
    <row r="100" customFormat="false" ht="15.75" hidden="false" customHeight="false" outlineLevel="0" collapsed="false">
      <c r="A100" s="0" t="str">
        <f aca="false">IFERROR(__xludf.dummyfunction("""COMPUTED_VALUE"""),"Давыдова")</f>
        <v>Давыдова</v>
      </c>
      <c r="B100" s="0" t="str">
        <f aca="false">IFERROR(__xludf.dummyfunction("""COMPUTED_VALUE"""),"Елизавета")</f>
        <v>Елизавета</v>
      </c>
      <c r="C100" s="0" t="n">
        <f aca="false">IFERROR(__xludf.dummyfunction("""COMPUTED_VALUE"""),8)</f>
        <v>8</v>
      </c>
      <c r="D100" s="0" t="n">
        <f aca="false">IFERROR(__xludf.dummyfunction("""COMPUTED_VALUE"""),117)</f>
        <v>117</v>
      </c>
      <c r="E100" s="12" t="str">
        <f aca="false">IFERROR(__xludf.dummyfunction("""COMPUTED_VALUE"""),"Прикладное право")</f>
        <v>Прикладное право</v>
      </c>
      <c r="F100" s="1" t="n">
        <f aca="false">FALSE()</f>
        <v>0</v>
      </c>
      <c r="G100" s="1" t="n">
        <f aca="false">FALSE()</f>
        <v>0</v>
      </c>
      <c r="H100" s="1" t="n">
        <f aca="false">FALSE()</f>
        <v>0</v>
      </c>
      <c r="I100" s="1" t="n">
        <f aca="false">FALSE()</f>
        <v>0</v>
      </c>
      <c r="J100" s="1" t="n">
        <f aca="false">FALSE()</f>
        <v>0</v>
      </c>
      <c r="K100" s="0" t="n">
        <f aca="false">IFERROR(__xludf.dummyfunction("""COMPUTED_VALUE"""),12)</f>
        <v>12</v>
      </c>
    </row>
    <row r="101" customFormat="false" ht="15.75" hidden="false" customHeight="false" outlineLevel="0" collapsed="false">
      <c r="A101" s="0" t="str">
        <f aca="false">IFERROR(__xludf.dummyfunction("""COMPUTED_VALUE"""),"Денисова ")</f>
        <v>Денисова</v>
      </c>
      <c r="B101" s="0" t="str">
        <f aca="false">IFERROR(__xludf.dummyfunction("""COMPUTED_VALUE"""),"Маргарита")</f>
        <v>Маргарита</v>
      </c>
      <c r="C101" s="0" t="n">
        <f aca="false">IFERROR(__xludf.dummyfunction("""COMPUTED_VALUE"""),9)</f>
        <v>9</v>
      </c>
      <c r="D101" s="0" t="n">
        <f aca="false">IFERROR(__xludf.dummyfunction("""COMPUTED_VALUE"""),117)</f>
        <v>117</v>
      </c>
      <c r="E101" s="12" t="str">
        <f aca="false">IFERROR(__xludf.dummyfunction("""COMPUTED_VALUE"""),"Прикладное право")</f>
        <v>Прикладное право</v>
      </c>
      <c r="F101" s="1" t="n">
        <f aca="false">TRUE()</f>
        <v>1</v>
      </c>
      <c r="G101" s="1" t="n">
        <f aca="false">TRUE()</f>
        <v>1</v>
      </c>
      <c r="H101" s="1" t="n">
        <f aca="false">TRUE()</f>
        <v>1</v>
      </c>
      <c r="I101" s="1" t="n">
        <f aca="false">TRUE()</f>
        <v>1</v>
      </c>
      <c r="J101" s="1" t="n">
        <f aca="false">TRUE()</f>
        <v>1</v>
      </c>
      <c r="K101" s="0" t="n">
        <f aca="false">IFERROR(__xludf.dummyfunction("""COMPUTED_VALUE"""),142)</f>
        <v>142</v>
      </c>
    </row>
    <row r="102" customFormat="false" ht="15.75" hidden="false" customHeight="false" outlineLevel="0" collapsed="false">
      <c r="A102" s="0" t="str">
        <f aca="false">IFERROR(__xludf.dummyfunction("""COMPUTED_VALUE"""),"Захаров")</f>
        <v>Захаров</v>
      </c>
      <c r="B102" s="0" t="str">
        <f aca="false">IFERROR(__xludf.dummyfunction("""COMPUTED_VALUE"""),"Матвей")</f>
        <v>Матвей</v>
      </c>
      <c r="C102" s="0" t="n">
        <f aca="false">IFERROR(__xludf.dummyfunction("""COMPUTED_VALUE"""),9)</f>
        <v>9</v>
      </c>
      <c r="D102" s="0" t="n">
        <f aca="false">IFERROR(__xludf.dummyfunction("""COMPUTED_VALUE"""),117)</f>
        <v>117</v>
      </c>
      <c r="E102" s="12" t="str">
        <f aca="false">IFERROR(__xludf.dummyfunction("""COMPUTED_VALUE"""),"Прикладное право")</f>
        <v>Прикладное право</v>
      </c>
      <c r="F102" s="1" t="n">
        <f aca="false">TRUE()</f>
        <v>1</v>
      </c>
      <c r="G102" s="1" t="n">
        <f aca="false">TRUE()</f>
        <v>1</v>
      </c>
      <c r="H102" s="1" t="n">
        <f aca="false">TRUE()</f>
        <v>1</v>
      </c>
      <c r="I102" s="1" t="n">
        <f aca="false">TRUE()</f>
        <v>1</v>
      </c>
      <c r="J102" s="1" t="n">
        <f aca="false">FALSE()</f>
        <v>0</v>
      </c>
      <c r="K102" s="0" t="n">
        <f aca="false">IFERROR(__xludf.dummyfunction("""COMPUTED_VALUE"""),60)</f>
        <v>60</v>
      </c>
    </row>
    <row r="103" customFormat="false" ht="15.75" hidden="false" customHeight="false" outlineLevel="0" collapsed="false">
      <c r="A103" s="0" t="str">
        <f aca="false">IFERROR(__xludf.dummyfunction("""COMPUTED_VALUE"""),"Качанова")</f>
        <v>Качанова</v>
      </c>
      <c r="B103" s="0" t="str">
        <f aca="false">IFERROR(__xludf.dummyfunction("""COMPUTED_VALUE"""),"Софья")</f>
        <v>Софья</v>
      </c>
      <c r="C103" s="0" t="n">
        <f aca="false">IFERROR(__xludf.dummyfunction("""COMPUTED_VALUE"""),9)</f>
        <v>9</v>
      </c>
      <c r="D103" s="0" t="n">
        <f aca="false">IFERROR(__xludf.dummyfunction("""COMPUTED_VALUE"""),159)</f>
        <v>159</v>
      </c>
      <c r="E103" s="12" t="str">
        <f aca="false">IFERROR(__xludf.dummyfunction("""COMPUTED_VALUE"""),"Прикладное право")</f>
        <v>Прикладное право</v>
      </c>
      <c r="F103" s="1" t="n">
        <f aca="false">TRUE()</f>
        <v>1</v>
      </c>
      <c r="G103" s="1" t="n">
        <f aca="false">TRUE()</f>
        <v>1</v>
      </c>
      <c r="H103" s="1" t="n">
        <f aca="false">TRUE()</f>
        <v>1</v>
      </c>
      <c r="I103" s="1" t="n">
        <f aca="false">TRUE()</f>
        <v>1</v>
      </c>
      <c r="J103" s="1" t="n">
        <f aca="false">FALSE()</f>
        <v>0</v>
      </c>
      <c r="K103" s="0" t="n">
        <f aca="false">IFERROR(__xludf.dummyfunction("""COMPUTED_VALUE"""),109)</f>
        <v>109</v>
      </c>
    </row>
    <row r="104" customFormat="false" ht="15.75" hidden="false" customHeight="false" outlineLevel="0" collapsed="false">
      <c r="A104" s="0" t="str">
        <f aca="false">IFERROR(__xludf.dummyfunction("""COMPUTED_VALUE"""),"Квинт")</f>
        <v>Квинт</v>
      </c>
      <c r="B104" s="0" t="str">
        <f aca="false">IFERROR(__xludf.dummyfunction("""COMPUTED_VALUE"""),"Элиас")</f>
        <v>Элиас</v>
      </c>
      <c r="C104" s="0" t="n">
        <f aca="false">IFERROR(__xludf.dummyfunction("""COMPUTED_VALUE"""),9)</f>
        <v>9</v>
      </c>
      <c r="D104" s="0" t="n">
        <f aca="false">IFERROR(__xludf.dummyfunction("""COMPUTED_VALUE"""),92)</f>
        <v>92</v>
      </c>
      <c r="E104" s="12" t="str">
        <f aca="false">IFERROR(__xludf.dummyfunction("""COMPUTED_VALUE"""),"Прикладное право")</f>
        <v>Прикладное право</v>
      </c>
      <c r="F104" s="1" t="n">
        <f aca="false">FALSE()</f>
        <v>0</v>
      </c>
      <c r="G104" s="1" t="n">
        <f aca="false">FALSE()</f>
        <v>0</v>
      </c>
      <c r="H104" s="1" t="n">
        <f aca="false">FALSE()</f>
        <v>0</v>
      </c>
      <c r="I104" s="1" t="n">
        <f aca="false">FALSE()</f>
        <v>0</v>
      </c>
      <c r="J104" s="1" t="n">
        <f aca="false">FALSE()</f>
        <v>0</v>
      </c>
      <c r="K104" s="0" t="n">
        <f aca="false">IFERROR(__xludf.dummyfunction("""COMPUTED_VALUE"""),76)</f>
        <v>76</v>
      </c>
    </row>
    <row r="105" customFormat="false" ht="15.75" hidden="false" customHeight="false" outlineLevel="0" collapsed="false">
      <c r="A105" s="0" t="str">
        <f aca="false">IFERROR(__xludf.dummyfunction("""COMPUTED_VALUE"""),"Клюева")</f>
        <v>Клюева</v>
      </c>
      <c r="B105" s="0" t="str">
        <f aca="false">IFERROR(__xludf.dummyfunction("""COMPUTED_VALUE"""),"Полина")</f>
        <v>Полина</v>
      </c>
      <c r="C105" s="0" t="n">
        <f aca="false">IFERROR(__xludf.dummyfunction("""COMPUTED_VALUE"""),8)</f>
        <v>8</v>
      </c>
      <c r="D105" s="0" t="n">
        <f aca="false">IFERROR(__xludf.dummyfunction("""COMPUTED_VALUE"""),117)</f>
        <v>117</v>
      </c>
      <c r="E105" s="12" t="str">
        <f aca="false">IFERROR(__xludf.dummyfunction("""COMPUTED_VALUE"""),"Прикладное право")</f>
        <v>Прикладное право</v>
      </c>
      <c r="F105" s="1" t="n">
        <f aca="false">TRUE()</f>
        <v>1</v>
      </c>
      <c r="G105" s="1" t="n">
        <f aca="false">TRUE()</f>
        <v>1</v>
      </c>
      <c r="H105" s="1" t="n">
        <f aca="false">TRUE()</f>
        <v>1</v>
      </c>
      <c r="I105" s="1" t="n">
        <f aca="false">TRUE()</f>
        <v>1</v>
      </c>
      <c r="J105" s="1" t="n">
        <f aca="false">TRUE()</f>
        <v>1</v>
      </c>
      <c r="K105" s="0" t="n">
        <f aca="false">IFERROR(__xludf.dummyfunction("""COMPUTED_VALUE"""),155)</f>
        <v>155</v>
      </c>
    </row>
    <row r="106" customFormat="false" ht="15.75" hidden="false" customHeight="false" outlineLevel="0" collapsed="false">
      <c r="A106" s="0" t="str">
        <f aca="false">IFERROR(__xludf.dummyfunction("""COMPUTED_VALUE"""),"Кокшарова")</f>
        <v>Кокшарова</v>
      </c>
      <c r="B106" s="0" t="str">
        <f aca="false">IFERROR(__xludf.dummyfunction("""COMPUTED_VALUE"""),"Мария")</f>
        <v>Мария</v>
      </c>
      <c r="C106" s="0" t="n">
        <f aca="false">IFERROR(__xludf.dummyfunction("""COMPUTED_VALUE"""),10)</f>
        <v>10</v>
      </c>
      <c r="D106" s="0" t="n">
        <f aca="false">IFERROR(__xludf.dummyfunction("""COMPUTED_VALUE"""),117)</f>
        <v>117</v>
      </c>
      <c r="E106" s="12" t="str">
        <f aca="false">IFERROR(__xludf.dummyfunction("""COMPUTED_VALUE"""),"Прикладное право")</f>
        <v>Прикладное право</v>
      </c>
      <c r="F106" s="1" t="n">
        <f aca="false">TRUE()</f>
        <v>1</v>
      </c>
      <c r="G106" s="1" t="n">
        <f aca="false">TRUE()</f>
        <v>1</v>
      </c>
      <c r="H106" s="1" t="n">
        <f aca="false">TRUE()</f>
        <v>1</v>
      </c>
      <c r="I106" s="1" t="n">
        <f aca="false">TRUE()</f>
        <v>1</v>
      </c>
      <c r="J106" s="1" t="n">
        <f aca="false">FALSE()</f>
        <v>0</v>
      </c>
      <c r="K106" s="0" t="n">
        <f aca="false">IFERROR(__xludf.dummyfunction("""COMPUTED_VALUE"""),103)</f>
        <v>103</v>
      </c>
    </row>
    <row r="107" customFormat="false" ht="15.75" hidden="false" customHeight="false" outlineLevel="0" collapsed="false">
      <c r="A107" s="0" t="str">
        <f aca="false">IFERROR(__xludf.dummyfunction("""COMPUTED_VALUE"""),"Куприенко")</f>
        <v>Куприенко</v>
      </c>
      <c r="B107" s="0" t="str">
        <f aca="false">IFERROR(__xludf.dummyfunction("""COMPUTED_VALUE"""),"Яна")</f>
        <v>Яна</v>
      </c>
      <c r="C107" s="0" t="n">
        <f aca="false">IFERROR(__xludf.dummyfunction("""COMPUTED_VALUE"""),9)</f>
        <v>9</v>
      </c>
      <c r="D107" s="0" t="n">
        <f aca="false">IFERROR(__xludf.dummyfunction("""COMPUTED_VALUE"""),117)</f>
        <v>117</v>
      </c>
      <c r="E107" s="12" t="str">
        <f aca="false">IFERROR(__xludf.dummyfunction("""COMPUTED_VALUE"""),"Прикладное право")</f>
        <v>Прикладное право</v>
      </c>
      <c r="F107" s="1" t="n">
        <f aca="false">TRUE()</f>
        <v>1</v>
      </c>
      <c r="G107" s="1" t="n">
        <f aca="false">TRUE()</f>
        <v>1</v>
      </c>
      <c r="H107" s="1" t="n">
        <f aca="false">TRUE()</f>
        <v>1</v>
      </c>
      <c r="I107" s="1" t="n">
        <f aca="false">TRUE()</f>
        <v>1</v>
      </c>
      <c r="J107" s="1" t="n">
        <f aca="false">TRUE()</f>
        <v>1</v>
      </c>
      <c r="K107" s="0" t="n">
        <f aca="false">IFERROR(__xludf.dummyfunction("""COMPUTED_VALUE"""),83)</f>
        <v>83</v>
      </c>
    </row>
    <row r="108" customFormat="false" ht="15.75" hidden="false" customHeight="false" outlineLevel="0" collapsed="false">
      <c r="A108" s="0" t="str">
        <f aca="false">IFERROR(__xludf.dummyfunction("""COMPUTED_VALUE"""),"Курочкин")</f>
        <v>Курочкин</v>
      </c>
      <c r="B108" s="0" t="str">
        <f aca="false">IFERROR(__xludf.dummyfunction("""COMPUTED_VALUE"""),"Тихон")</f>
        <v>Тихон</v>
      </c>
      <c r="C108" s="0" t="n">
        <f aca="false">IFERROR(__xludf.dummyfunction("""COMPUTED_VALUE"""),10)</f>
        <v>10</v>
      </c>
      <c r="D108" s="0" t="n">
        <f aca="false">IFERROR(__xludf.dummyfunction("""COMPUTED_VALUE"""),150)</f>
        <v>150</v>
      </c>
      <c r="E108" s="12" t="str">
        <f aca="false">IFERROR(__xludf.dummyfunction("""COMPUTED_VALUE"""),"Прикладное право")</f>
        <v>Прикладное право</v>
      </c>
      <c r="F108" s="1" t="n">
        <f aca="false">TRUE()</f>
        <v>1</v>
      </c>
      <c r="G108" s="1" t="n">
        <f aca="false">TRUE()</f>
        <v>1</v>
      </c>
      <c r="H108" s="1" t="n">
        <f aca="false">TRUE()</f>
        <v>1</v>
      </c>
      <c r="I108" s="1" t="n">
        <f aca="false">TRUE()</f>
        <v>1</v>
      </c>
      <c r="J108" s="1" t="n">
        <f aca="false">TRUE()</f>
        <v>1</v>
      </c>
      <c r="K108" s="0" t="n">
        <f aca="false">IFERROR(__xludf.dummyfunction("""COMPUTED_VALUE"""),7)</f>
        <v>7</v>
      </c>
    </row>
    <row r="109" customFormat="false" ht="15.75" hidden="false" customHeight="false" outlineLevel="0" collapsed="false">
      <c r="A109" s="0" t="str">
        <f aca="false">IFERROR(__xludf.dummyfunction("""COMPUTED_VALUE"""),"Лисовский")</f>
        <v>Лисовский</v>
      </c>
      <c r="B109" s="0" t="str">
        <f aca="false">IFERROR(__xludf.dummyfunction("""COMPUTED_VALUE"""),"Роман")</f>
        <v>Роман</v>
      </c>
      <c r="C109" s="0" t="n">
        <f aca="false">IFERROR(__xludf.dummyfunction("""COMPUTED_VALUE"""),9)</f>
        <v>9</v>
      </c>
      <c r="D109" s="0" t="n">
        <f aca="false">IFERROR(__xludf.dummyfunction("""COMPUTED_VALUE"""),139)</f>
        <v>139</v>
      </c>
      <c r="E109" s="12" t="str">
        <f aca="false">IFERROR(__xludf.dummyfunction("""COMPUTED_VALUE"""),"Прикладное право")</f>
        <v>Прикладное право</v>
      </c>
      <c r="F109" s="1" t="n">
        <f aca="false">TRUE()</f>
        <v>1</v>
      </c>
      <c r="G109" s="1" t="n">
        <f aca="false">TRUE()</f>
        <v>1</v>
      </c>
      <c r="H109" s="1" t="n">
        <f aca="false">TRUE()</f>
        <v>1</v>
      </c>
      <c r="I109" s="1" t="n">
        <f aca="false">TRUE()</f>
        <v>1</v>
      </c>
      <c r="J109" s="1" t="n">
        <f aca="false">TRUE()</f>
        <v>1</v>
      </c>
      <c r="K109" s="0" t="n">
        <f aca="false">IFERROR(__xludf.dummyfunction("""COMPUTED_VALUE"""),168)</f>
        <v>168</v>
      </c>
    </row>
    <row r="110" customFormat="false" ht="15.75" hidden="false" customHeight="false" outlineLevel="0" collapsed="false">
      <c r="A110" s="0" t="str">
        <f aca="false">IFERROR(__xludf.dummyfunction("""COMPUTED_VALUE"""),"Моисеева")</f>
        <v>Моисеева</v>
      </c>
      <c r="B110" s="0" t="str">
        <f aca="false">IFERROR(__xludf.dummyfunction("""COMPUTED_VALUE"""),"Вероника")</f>
        <v>Вероника</v>
      </c>
      <c r="C110" s="0" t="n">
        <f aca="false">IFERROR(__xludf.dummyfunction("""COMPUTED_VALUE"""),9)</f>
        <v>9</v>
      </c>
      <c r="D110" s="0" t="n">
        <f aca="false">IFERROR(__xludf.dummyfunction("""COMPUTED_VALUE"""),117)</f>
        <v>117</v>
      </c>
      <c r="E110" s="12" t="str">
        <f aca="false">IFERROR(__xludf.dummyfunction("""COMPUTED_VALUE"""),"Прикладное право")</f>
        <v>Прикладное право</v>
      </c>
      <c r="F110" s="1" t="n">
        <f aca="false">TRUE()</f>
        <v>1</v>
      </c>
      <c r="G110" s="1" t="n">
        <f aca="false">TRUE()</f>
        <v>1</v>
      </c>
      <c r="H110" s="1" t="n">
        <f aca="false">TRUE()</f>
        <v>1</v>
      </c>
      <c r="I110" s="1" t="n">
        <f aca="false">TRUE()</f>
        <v>1</v>
      </c>
      <c r="J110" s="1" t="n">
        <f aca="false">TRUE()</f>
        <v>1</v>
      </c>
      <c r="K110" s="0" t="n">
        <f aca="false">IFERROR(__xludf.dummyfunction("""COMPUTED_VALUE"""),91)</f>
        <v>91</v>
      </c>
    </row>
    <row r="111" customFormat="false" ht="15.75" hidden="false" customHeight="false" outlineLevel="0" collapsed="false">
      <c r="A111" s="0" t="str">
        <f aca="false">IFERROR(__xludf.dummyfunction("""COMPUTED_VALUE"""),"Мороз")</f>
        <v>Мороз</v>
      </c>
      <c r="B111" s="0" t="str">
        <f aca="false">IFERROR(__xludf.dummyfunction("""COMPUTED_VALUE"""),"Георгий")</f>
        <v>Георгий</v>
      </c>
      <c r="C111" s="0" t="n">
        <f aca="false">IFERROR(__xludf.dummyfunction("""COMPUTED_VALUE"""),7)</f>
        <v>7</v>
      </c>
      <c r="D111" s="0" t="n">
        <f aca="false">IFERROR(__xludf.dummyfunction("""COMPUTED_VALUE"""),117)</f>
        <v>117</v>
      </c>
      <c r="E111" s="12" t="str">
        <f aca="false">IFERROR(__xludf.dummyfunction("""COMPUTED_VALUE"""),"Прикладное право")</f>
        <v>Прикладное право</v>
      </c>
      <c r="F111" s="1" t="n">
        <f aca="false">TRUE()</f>
        <v>1</v>
      </c>
      <c r="G111" s="1" t="n">
        <f aca="false">TRUE()</f>
        <v>1</v>
      </c>
      <c r="H111" s="1" t="n">
        <f aca="false">TRUE()</f>
        <v>1</v>
      </c>
      <c r="I111" s="1" t="n">
        <f aca="false">TRUE()</f>
        <v>1</v>
      </c>
      <c r="J111" s="1" t="n">
        <f aca="false">TRUE()</f>
        <v>1</v>
      </c>
      <c r="K111" s="0" t="n">
        <f aca="false">IFERROR(__xludf.dummyfunction("""COMPUTED_VALUE"""),171)</f>
        <v>171</v>
      </c>
    </row>
    <row r="112" customFormat="false" ht="15.75" hidden="false" customHeight="false" outlineLevel="0" collapsed="false">
      <c r="A112" s="0" t="str">
        <f aca="false">IFERROR(__xludf.dummyfunction("""COMPUTED_VALUE"""),"Муравьева")</f>
        <v>Муравьева</v>
      </c>
      <c r="B112" s="0" t="str">
        <f aca="false">IFERROR(__xludf.dummyfunction("""COMPUTED_VALUE"""),"Мария")</f>
        <v>Мария</v>
      </c>
      <c r="C112" s="0" t="n">
        <f aca="false">IFERROR(__xludf.dummyfunction("""COMPUTED_VALUE"""),10)</f>
        <v>10</v>
      </c>
      <c r="D112" s="0" t="n">
        <f aca="false">IFERROR(__xludf.dummyfunction("""COMPUTED_VALUE"""),117)</f>
        <v>117</v>
      </c>
      <c r="E112" s="12" t="str">
        <f aca="false">IFERROR(__xludf.dummyfunction("""COMPUTED_VALUE"""),"Прикладное право")</f>
        <v>Прикладное право</v>
      </c>
      <c r="F112" s="1" t="n">
        <f aca="false">FALSE()</f>
        <v>0</v>
      </c>
      <c r="G112" s="1" t="n">
        <f aca="false">FALSE()</f>
        <v>0</v>
      </c>
      <c r="H112" s="1" t="n">
        <f aca="false">FALSE()</f>
        <v>0</v>
      </c>
      <c r="I112" s="1" t="n">
        <f aca="false">FALSE()</f>
        <v>0</v>
      </c>
      <c r="J112" s="1" t="n">
        <f aca="false">FALSE()</f>
        <v>0</v>
      </c>
      <c r="K112" s="0" t="n">
        <f aca="false">IFERROR(__xludf.dummyfunction("""COMPUTED_VALUE"""),88)</f>
        <v>88</v>
      </c>
    </row>
    <row r="113" customFormat="false" ht="15.75" hidden="false" customHeight="false" outlineLevel="0" collapsed="false">
      <c r="A113" s="0" t="str">
        <f aca="false">IFERROR(__xludf.dummyfunction("""COMPUTED_VALUE"""),"Рейсер")</f>
        <v>Рейсер</v>
      </c>
      <c r="B113" s="0" t="str">
        <f aca="false">IFERROR(__xludf.dummyfunction("""COMPUTED_VALUE"""),"Анастасия")</f>
        <v>Анастасия</v>
      </c>
      <c r="C113" s="0" t="n">
        <f aca="false">IFERROR(__xludf.dummyfunction("""COMPUTED_VALUE"""),7)</f>
        <v>7</v>
      </c>
      <c r="D113" s="0" t="n">
        <f aca="false">IFERROR(__xludf.dummyfunction("""COMPUTED_VALUE"""),117)</f>
        <v>117</v>
      </c>
      <c r="E113" s="12" t="str">
        <f aca="false">IFERROR(__xludf.dummyfunction("""COMPUTED_VALUE"""),"Прикладное право")</f>
        <v>Прикладное право</v>
      </c>
      <c r="F113" s="1" t="n">
        <f aca="false">FALSE()</f>
        <v>0</v>
      </c>
      <c r="G113" s="1" t="n">
        <f aca="false">FALSE()</f>
        <v>0</v>
      </c>
      <c r="H113" s="1" t="n">
        <f aca="false">FALSE()</f>
        <v>0</v>
      </c>
      <c r="I113" s="1" t="n">
        <f aca="false">FALSE()</f>
        <v>0</v>
      </c>
      <c r="J113" s="1" t="n">
        <f aca="false">FALSE()</f>
        <v>0</v>
      </c>
      <c r="K113" s="0" t="n">
        <f aca="false">IFERROR(__xludf.dummyfunction("""COMPUTED_VALUE"""),138)</f>
        <v>138</v>
      </c>
    </row>
    <row r="114" customFormat="false" ht="15.75" hidden="false" customHeight="false" outlineLevel="0" collapsed="false">
      <c r="A114" s="0" t="str">
        <f aca="false">IFERROR(__xludf.dummyfunction("""COMPUTED_VALUE"""),"Самохвалова")</f>
        <v>Самохвалова</v>
      </c>
      <c r="B114" s="0" t="str">
        <f aca="false">IFERROR(__xludf.dummyfunction("""COMPUTED_VALUE"""),"Ксения")</f>
        <v>Ксения</v>
      </c>
      <c r="C114" s="0" t="n">
        <f aca="false">IFERROR(__xludf.dummyfunction("""COMPUTED_VALUE"""),9)</f>
        <v>9</v>
      </c>
      <c r="D114" s="0" t="str">
        <f aca="false">IFERROR(__xludf.dummyfunction("""COMPUTED_VALUE"""),"Академический лицей")</f>
        <v>Академический лицей</v>
      </c>
      <c r="E114" s="12" t="str">
        <f aca="false">IFERROR(__xludf.dummyfunction("""COMPUTED_VALUE"""),"Прикладное право")</f>
        <v>Прикладное право</v>
      </c>
      <c r="F114" s="1" t="n">
        <f aca="false">FALSE()</f>
        <v>0</v>
      </c>
      <c r="G114" s="1" t="n">
        <f aca="false">FALSE()</f>
        <v>0</v>
      </c>
      <c r="H114" s="1" t="n">
        <f aca="false">FALSE()</f>
        <v>0</v>
      </c>
      <c r="I114" s="1" t="n">
        <f aca="false">FALSE()</f>
        <v>0</v>
      </c>
      <c r="J114" s="1" t="n">
        <f aca="false">FALSE()</f>
        <v>0</v>
      </c>
      <c r="K114" s="0" t="n">
        <f aca="false">IFERROR(__xludf.dummyfunction("""COMPUTED_VALUE"""),119)</f>
        <v>119</v>
      </c>
    </row>
    <row r="115" customFormat="false" ht="15.75" hidden="false" customHeight="false" outlineLevel="0" collapsed="false">
      <c r="A115" s="0" t="str">
        <f aca="false">IFERROR(__xludf.dummyfunction("""COMPUTED_VALUE"""),"Семёнова")</f>
        <v>Семёнова</v>
      </c>
      <c r="B115" s="0" t="str">
        <f aca="false">IFERROR(__xludf.dummyfunction("""COMPUTED_VALUE"""),"Анастасия")</f>
        <v>Анастасия</v>
      </c>
      <c r="C115" s="0" t="n">
        <f aca="false">IFERROR(__xludf.dummyfunction("""COMPUTED_VALUE"""),8)</f>
        <v>8</v>
      </c>
      <c r="D115" s="0" t="n">
        <f aca="false">IFERROR(__xludf.dummyfunction("""COMPUTED_VALUE"""),63)</f>
        <v>63</v>
      </c>
      <c r="E115" s="12" t="str">
        <f aca="false">IFERROR(__xludf.dummyfunction("""COMPUTED_VALUE"""),"Прикладное право")</f>
        <v>Прикладное право</v>
      </c>
      <c r="F115" s="1" t="n">
        <f aca="false">TRUE()</f>
        <v>1</v>
      </c>
      <c r="G115" s="1" t="n">
        <f aca="false">TRUE()</f>
        <v>1</v>
      </c>
      <c r="H115" s="1" t="n">
        <f aca="false">FALSE()</f>
        <v>0</v>
      </c>
      <c r="I115" s="1" t="n">
        <f aca="false">TRUE()</f>
        <v>1</v>
      </c>
      <c r="J115" s="1" t="n">
        <f aca="false">TRUE()</f>
        <v>1</v>
      </c>
      <c r="K115" s="0" t="n">
        <f aca="false">IFERROR(__xludf.dummyfunction("""COMPUTED_VALUE"""),163)</f>
        <v>163</v>
      </c>
    </row>
    <row r="116" customFormat="false" ht="15.75" hidden="false" customHeight="false" outlineLevel="0" collapsed="false">
      <c r="A116" s="0" t="str">
        <f aca="false">IFERROR(__xludf.dummyfunction("""COMPUTED_VALUE"""),"Сушкова")</f>
        <v>Сушкова</v>
      </c>
      <c r="B116" s="0" t="str">
        <f aca="false">IFERROR(__xludf.dummyfunction("""COMPUTED_VALUE"""),"Ксения")</f>
        <v>Ксения</v>
      </c>
      <c r="C116" s="0" t="n">
        <f aca="false">IFERROR(__xludf.dummyfunction("""COMPUTED_VALUE"""),8)</f>
        <v>8</v>
      </c>
      <c r="D116" s="0" t="n">
        <f aca="false">IFERROR(__xludf.dummyfunction("""COMPUTED_VALUE"""),117)</f>
        <v>117</v>
      </c>
      <c r="E116" s="12" t="str">
        <f aca="false">IFERROR(__xludf.dummyfunction("""COMPUTED_VALUE"""),"Прикладное право")</f>
        <v>Прикладное право</v>
      </c>
      <c r="F116" s="1" t="n">
        <f aca="false">FALSE()</f>
        <v>0</v>
      </c>
      <c r="G116" s="1" t="n">
        <f aca="false">TRUE()</f>
        <v>1</v>
      </c>
      <c r="H116" s="1" t="n">
        <f aca="false">TRUE()</f>
        <v>1</v>
      </c>
      <c r="I116" s="1" t="n">
        <f aca="false">TRUE()</f>
        <v>1</v>
      </c>
      <c r="J116" s="1" t="n">
        <f aca="false">TRUE()</f>
        <v>1</v>
      </c>
      <c r="K116" s="0" t="n">
        <f aca="false">IFERROR(__xludf.dummyfunction("""COMPUTED_VALUE"""),34)</f>
        <v>34</v>
      </c>
    </row>
    <row r="117" customFormat="false" ht="15.75" hidden="false" customHeight="false" outlineLevel="0" collapsed="false">
      <c r="A117" s="0" t="str">
        <f aca="false">IFERROR(__xludf.dummyfunction("""COMPUTED_VALUE"""),"Шаповал")</f>
        <v>Шаповал</v>
      </c>
      <c r="B117" s="0" t="str">
        <f aca="false">IFERROR(__xludf.dummyfunction("""COMPUTED_VALUE"""),"Денис")</f>
        <v>Денис</v>
      </c>
      <c r="C117" s="0" t="n">
        <f aca="false">IFERROR(__xludf.dummyfunction("""COMPUTED_VALUE"""),9)</f>
        <v>9</v>
      </c>
      <c r="D117" s="0" t="n">
        <f aca="false">IFERROR(__xludf.dummyfunction("""COMPUTED_VALUE"""),150)</f>
        <v>150</v>
      </c>
      <c r="E117" s="12" t="str">
        <f aca="false">IFERROR(__xludf.dummyfunction("""COMPUTED_VALUE"""),"Прикладное право")</f>
        <v>Прикладное право</v>
      </c>
      <c r="F117" s="1" t="n">
        <f aca="false">TRUE()</f>
        <v>1</v>
      </c>
      <c r="G117" s="1" t="n">
        <f aca="false">FALSE()</f>
        <v>0</v>
      </c>
      <c r="H117" s="1" t="n">
        <f aca="false">TRUE()</f>
        <v>1</v>
      </c>
      <c r="I117" s="1" t="n">
        <f aca="false">TRUE()</f>
        <v>1</v>
      </c>
      <c r="J117" s="1" t="n">
        <f aca="false">TRUE()</f>
        <v>1</v>
      </c>
      <c r="K117" s="0" t="n">
        <f aca="false">IFERROR(__xludf.dummyfunction("""COMPUTED_VALUE"""),84)</f>
        <v>84</v>
      </c>
    </row>
    <row r="118" customFormat="false" ht="15.75" hidden="false" customHeight="false" outlineLevel="0" collapsed="false">
      <c r="A118" s="0" t="str">
        <f aca="false">IFERROR(__xludf.dummyfunction("""COMPUTED_VALUE"""),"Шипилова")</f>
        <v>Шипилова</v>
      </c>
      <c r="B118" s="0" t="str">
        <f aca="false">IFERROR(__xludf.dummyfunction("""COMPUTED_VALUE"""),"Екатерина")</f>
        <v>Екатерина</v>
      </c>
      <c r="C118" s="0" t="n">
        <f aca="false">IFERROR(__xludf.dummyfunction("""COMPUTED_VALUE"""),10)</f>
        <v>10</v>
      </c>
      <c r="D118" s="0" t="n">
        <f aca="false">IFERROR(__xludf.dummyfunction("""COMPUTED_VALUE"""),84)</f>
        <v>84</v>
      </c>
      <c r="E118" s="12" t="str">
        <f aca="false">IFERROR(__xludf.dummyfunction("""COMPUTED_VALUE"""),"Прикладное право")</f>
        <v>Прикладное право</v>
      </c>
      <c r="F118" s="1" t="n">
        <f aca="false">FALSE()</f>
        <v>0</v>
      </c>
      <c r="G118" s="1" t="n">
        <f aca="false">FALSE()</f>
        <v>0</v>
      </c>
      <c r="H118" s="1" t="n">
        <f aca="false">FALSE()</f>
        <v>0</v>
      </c>
      <c r="I118" s="1" t="n">
        <f aca="false">FALSE()</f>
        <v>0</v>
      </c>
      <c r="J118" s="1" t="n">
        <f aca="false">FALSE()</f>
        <v>0</v>
      </c>
      <c r="K118" s="0" t="n">
        <f aca="false">IFERROR(__xludf.dummyfunction("""COMPUTED_VALUE"""),169)</f>
        <v>169</v>
      </c>
    </row>
    <row r="119" customFormat="false" ht="15.75" hidden="false" customHeight="false" outlineLevel="0" collapsed="false">
      <c r="A119" s="0" t="str">
        <f aca="false">IFERROR(__xludf.dummyfunction("""COMPUTED_VALUE"""),"Щипачёв")</f>
        <v>Щипачёв</v>
      </c>
      <c r="B119" s="0" t="str">
        <f aca="false">IFERROR(__xludf.dummyfunction("""COMPUTED_VALUE"""),"Артём")</f>
        <v>Артём</v>
      </c>
      <c r="C119" s="0" t="n">
        <f aca="false">IFERROR(__xludf.dummyfunction("""COMPUTED_VALUE"""),7)</f>
        <v>7</v>
      </c>
      <c r="D119" s="0" t="n">
        <f aca="false">IFERROR(__xludf.dummyfunction("""COMPUTED_VALUE"""),117)</f>
        <v>117</v>
      </c>
      <c r="E119" s="12" t="str">
        <f aca="false">IFERROR(__xludf.dummyfunction("""COMPUTED_VALUE"""),"Прикладное право")</f>
        <v>Прикладное право</v>
      </c>
      <c r="F119" s="1" t="n">
        <f aca="false">TRUE()</f>
        <v>1</v>
      </c>
      <c r="G119" s="1" t="n">
        <f aca="false">TRUE()</f>
        <v>1</v>
      </c>
      <c r="H119" s="1" t="n">
        <f aca="false">TRUE()</f>
        <v>1</v>
      </c>
      <c r="I119" s="1" t="n">
        <f aca="false">TRUE()</f>
        <v>1</v>
      </c>
      <c r="J119" s="1" t="n">
        <f aca="false">TRUE()</f>
        <v>1</v>
      </c>
      <c r="K119" s="0" t="n">
        <f aca="false">IFERROR(__xludf.dummyfunction("""COMPUTED_VALUE"""),164)</f>
        <v>164</v>
      </c>
    </row>
    <row r="120" customFormat="false" ht="15.75" hidden="false" customHeight="false" outlineLevel="0" collapsed="false">
      <c r="A120" s="0" t="str">
        <f aca="false">IFERROR(__xludf.dummyfunction("""COMPUTED_VALUE"""),"Анохина ")</f>
        <v>Анохина</v>
      </c>
      <c r="B120" s="0" t="str">
        <f aca="false">IFERROR(__xludf.dummyfunction("""COMPUTED_VALUE"""),"Полина ")</f>
        <v>Полина</v>
      </c>
      <c r="C120" s="0" t="n">
        <f aca="false">IFERROR(__xludf.dummyfunction("""COMPUTED_VALUE"""),8)</f>
        <v>8</v>
      </c>
      <c r="D120" s="0" t="n">
        <f aca="false">IFERROR(__xludf.dummyfunction("""COMPUTED_VALUE"""),117)</f>
        <v>117</v>
      </c>
      <c r="E120" s="12" t="str">
        <f aca="false">IFERROR(__xludf.dummyfunction("""COMPUTED_VALUE"""),"Теория потребителя")</f>
        <v>Теория потребителя</v>
      </c>
      <c r="F120" s="1" t="n">
        <f aca="false">FALSE()</f>
        <v>0</v>
      </c>
      <c r="G120" s="1" t="n">
        <f aca="false">FALSE()</f>
        <v>0</v>
      </c>
      <c r="H120" s="1" t="n">
        <f aca="false">FALSE()</f>
        <v>0</v>
      </c>
      <c r="I120" s="1" t="n">
        <f aca="false">FALSE()</f>
        <v>0</v>
      </c>
      <c r="J120" s="1" t="n">
        <f aca="false">FALSE()</f>
        <v>0</v>
      </c>
      <c r="K120" s="0" t="n">
        <f aca="false">IFERROR(__xludf.dummyfunction("""COMPUTED_VALUE"""),105)</f>
        <v>105</v>
      </c>
    </row>
    <row r="121" customFormat="false" ht="15.75" hidden="false" customHeight="false" outlineLevel="0" collapsed="false">
      <c r="A121" s="0" t="str">
        <f aca="false">IFERROR(__xludf.dummyfunction("""COMPUTED_VALUE"""),"Бахмутский ")</f>
        <v>Бахмутский</v>
      </c>
      <c r="B121" s="0" t="str">
        <f aca="false">IFERROR(__xludf.dummyfunction("""COMPUTED_VALUE"""),"Андрей")</f>
        <v>Андрей</v>
      </c>
      <c r="C121" s="0" t="n">
        <f aca="false">IFERROR(__xludf.dummyfunction("""COMPUTED_VALUE"""),10)</f>
        <v>10</v>
      </c>
      <c r="D121" s="0" t="n">
        <f aca="false">IFERROR(__xludf.dummyfunction("""COMPUTED_VALUE"""),117)</f>
        <v>117</v>
      </c>
      <c r="E121" s="12" t="str">
        <f aca="false">IFERROR(__xludf.dummyfunction("""COMPUTED_VALUE"""),"Теория потребителя")</f>
        <v>Теория потребителя</v>
      </c>
      <c r="F121" s="1" t="n">
        <f aca="false">TRUE()</f>
        <v>1</v>
      </c>
      <c r="G121" s="1" t="n">
        <f aca="false">TRUE()</f>
        <v>1</v>
      </c>
      <c r="H121" s="1" t="n">
        <f aca="false">TRUE()</f>
        <v>1</v>
      </c>
      <c r="I121" s="1" t="n">
        <f aca="false">TRUE()</f>
        <v>1</v>
      </c>
      <c r="J121" s="1" t="n">
        <f aca="false">TRUE()</f>
        <v>1</v>
      </c>
      <c r="K121" s="0" t="n">
        <f aca="false">IFERROR(__xludf.dummyfunction("""COMPUTED_VALUE"""),96)</f>
        <v>96</v>
      </c>
    </row>
    <row r="122" customFormat="false" ht="15.75" hidden="false" customHeight="false" outlineLevel="0" collapsed="false">
      <c r="A122" s="0" t="str">
        <f aca="false">IFERROR(__xludf.dummyfunction("""COMPUTED_VALUE"""),"Власенко")</f>
        <v>Власенко</v>
      </c>
      <c r="B122" s="0" t="str">
        <f aca="false">IFERROR(__xludf.dummyfunction("""COMPUTED_VALUE"""),"Иван")</f>
        <v>Иван</v>
      </c>
      <c r="C122" s="0" t="n">
        <f aca="false">IFERROR(__xludf.dummyfunction("""COMPUTED_VALUE"""),8)</f>
        <v>8</v>
      </c>
      <c r="D122" s="0" t="n">
        <f aca="false">IFERROR(__xludf.dummyfunction("""COMPUTED_VALUE"""),84)</f>
        <v>84</v>
      </c>
      <c r="E122" s="12" t="str">
        <f aca="false">IFERROR(__xludf.dummyfunction("""COMPUTED_VALUE"""),"Теория потребителя")</f>
        <v>Теория потребителя</v>
      </c>
      <c r="F122" s="1" t="n">
        <f aca="false">FALSE()</f>
        <v>0</v>
      </c>
      <c r="G122" s="1" t="n">
        <f aca="false">FALSE()</f>
        <v>0</v>
      </c>
      <c r="H122" s="1" t="n">
        <f aca="false">FALSE()</f>
        <v>0</v>
      </c>
      <c r="I122" s="1" t="n">
        <f aca="false">FALSE()</f>
        <v>0</v>
      </c>
      <c r="J122" s="1" t="n">
        <f aca="false">FALSE()</f>
        <v>0</v>
      </c>
      <c r="K122" s="0" t="n">
        <f aca="false">IFERROR(__xludf.dummyfunction("""COMPUTED_VALUE"""),107)</f>
        <v>107</v>
      </c>
    </row>
    <row r="123" customFormat="false" ht="15.75" hidden="false" customHeight="false" outlineLevel="0" collapsed="false">
      <c r="A123" s="0" t="str">
        <f aca="false">IFERROR(__xludf.dummyfunction("""COMPUTED_VALUE"""),"Вольф")</f>
        <v>Вольф</v>
      </c>
      <c r="B123" s="0" t="str">
        <f aca="false">IFERROR(__xludf.dummyfunction("""COMPUTED_VALUE"""),"Екатерина")</f>
        <v>Екатерина</v>
      </c>
      <c r="C123" s="0" t="n">
        <f aca="false">IFERROR(__xludf.dummyfunction("""COMPUTED_VALUE"""),10)</f>
        <v>10</v>
      </c>
      <c r="D123" s="0" t="n">
        <f aca="false">IFERROR(__xludf.dummyfunction("""COMPUTED_VALUE"""),117)</f>
        <v>117</v>
      </c>
      <c r="E123" s="12" t="str">
        <f aca="false">IFERROR(__xludf.dummyfunction("""COMPUTED_VALUE"""),"Теория потребителя")</f>
        <v>Теория потребителя</v>
      </c>
      <c r="F123" s="1" t="n">
        <f aca="false">TRUE()</f>
        <v>1</v>
      </c>
      <c r="G123" s="1" t="n">
        <f aca="false">TRUE()</f>
        <v>1</v>
      </c>
      <c r="H123" s="1" t="n">
        <f aca="false">TRUE()</f>
        <v>1</v>
      </c>
      <c r="I123" s="1" t="n">
        <f aca="false">TRUE()</f>
        <v>1</v>
      </c>
      <c r="J123" s="1" t="n">
        <f aca="false">TRUE()</f>
        <v>1</v>
      </c>
      <c r="K123" s="0" t="n">
        <f aca="false">IFERROR(__xludf.dummyfunction("""COMPUTED_VALUE"""),98)</f>
        <v>98</v>
      </c>
    </row>
    <row r="124" customFormat="false" ht="15.75" hidden="false" customHeight="false" outlineLevel="0" collapsed="false">
      <c r="A124" s="0" t="str">
        <f aca="false">IFERROR(__xludf.dummyfunction("""COMPUTED_VALUE"""),"Галыба")</f>
        <v>Галыба</v>
      </c>
      <c r="B124" s="0" t="str">
        <f aca="false">IFERROR(__xludf.dummyfunction("""COMPUTED_VALUE"""),"Леонид")</f>
        <v>Леонид</v>
      </c>
      <c r="C124" s="0" t="n">
        <f aca="false">IFERROR(__xludf.dummyfunction("""COMPUTED_VALUE"""),10)</f>
        <v>10</v>
      </c>
      <c r="D124" s="0" t="n">
        <f aca="false">IFERROR(__xludf.dummyfunction("""COMPUTED_VALUE"""),117)</f>
        <v>117</v>
      </c>
      <c r="E124" s="12" t="str">
        <f aca="false">IFERROR(__xludf.dummyfunction("""COMPUTED_VALUE"""),"Теория потребителя")</f>
        <v>Теория потребителя</v>
      </c>
      <c r="F124" s="1" t="n">
        <f aca="false">FALSE()</f>
        <v>0</v>
      </c>
      <c r="G124" s="1" t="n">
        <f aca="false">FALSE()</f>
        <v>0</v>
      </c>
      <c r="H124" s="1" t="n">
        <f aca="false">TRUE()</f>
        <v>1</v>
      </c>
      <c r="I124" s="1" t="n">
        <f aca="false">TRUE()</f>
        <v>1</v>
      </c>
      <c r="J124" s="1" t="n">
        <f aca="false">TRUE()</f>
        <v>1</v>
      </c>
      <c r="K124" s="0" t="n">
        <f aca="false">IFERROR(__xludf.dummyfunction("""COMPUTED_VALUE"""),147)</f>
        <v>147</v>
      </c>
    </row>
    <row r="125" customFormat="false" ht="15.75" hidden="false" customHeight="false" outlineLevel="0" collapsed="false">
      <c r="A125" s="0" t="str">
        <f aca="false">IFERROR(__xludf.dummyfunction("""COMPUTED_VALUE"""),"Жигулина")</f>
        <v>Жигулина</v>
      </c>
      <c r="B125" s="0" t="str">
        <f aca="false">IFERROR(__xludf.dummyfunction("""COMPUTED_VALUE"""),"Виктория")</f>
        <v>Виктория</v>
      </c>
      <c r="C125" s="0" t="n">
        <f aca="false">IFERROR(__xludf.dummyfunction("""COMPUTED_VALUE"""),8)</f>
        <v>8</v>
      </c>
      <c r="D125" s="0" t="n">
        <f aca="false">IFERROR(__xludf.dummyfunction("""COMPUTED_VALUE"""),117)</f>
        <v>117</v>
      </c>
      <c r="E125" s="12" t="str">
        <f aca="false">IFERROR(__xludf.dummyfunction("""COMPUTED_VALUE"""),"Теория потребителя")</f>
        <v>Теория потребителя</v>
      </c>
      <c r="F125" s="1" t="n">
        <f aca="false">TRUE()</f>
        <v>1</v>
      </c>
      <c r="G125" s="1" t="n">
        <f aca="false">FALSE()</f>
        <v>0</v>
      </c>
      <c r="H125" s="1" t="n">
        <f aca="false">FALSE()</f>
        <v>0</v>
      </c>
      <c r="I125" s="1" t="n">
        <f aca="false">FALSE()</f>
        <v>0</v>
      </c>
      <c r="J125" s="1" t="n">
        <f aca="false">FALSE()</f>
        <v>0</v>
      </c>
      <c r="K125" s="0" t="n">
        <f aca="false">IFERROR(__xludf.dummyfunction("""COMPUTED_VALUE"""),130)</f>
        <v>130</v>
      </c>
    </row>
    <row r="126" customFormat="false" ht="15.75" hidden="false" customHeight="false" outlineLevel="0" collapsed="false">
      <c r="A126" s="0" t="str">
        <f aca="false">IFERROR(__xludf.dummyfunction("""COMPUTED_VALUE"""),"Колесник")</f>
        <v>Колесник</v>
      </c>
      <c r="B126" s="0" t="str">
        <f aca="false">IFERROR(__xludf.dummyfunction("""COMPUTED_VALUE"""),"Артём")</f>
        <v>Артём</v>
      </c>
      <c r="C126" s="0" t="n">
        <f aca="false">IFERROR(__xludf.dummyfunction("""COMPUTED_VALUE"""),10)</f>
        <v>10</v>
      </c>
      <c r="D126" s="0" t="n">
        <f aca="false">IFERROR(__xludf.dummyfunction("""COMPUTED_VALUE"""),64)</f>
        <v>64</v>
      </c>
      <c r="E126" s="12" t="str">
        <f aca="false">IFERROR(__xludf.dummyfunction("""COMPUTED_VALUE"""),"Теория потребителя")</f>
        <v>Теория потребителя</v>
      </c>
      <c r="F126" s="1" t="n">
        <f aca="false">TRUE()</f>
        <v>1</v>
      </c>
      <c r="G126" s="1" t="n">
        <f aca="false">TRUE()</f>
        <v>1</v>
      </c>
      <c r="H126" s="1" t="n">
        <f aca="false">TRUE()</f>
        <v>1</v>
      </c>
      <c r="I126" s="1" t="n">
        <f aca="false">TRUE()</f>
        <v>1</v>
      </c>
      <c r="J126" s="1" t="n">
        <f aca="false">TRUE()</f>
        <v>1</v>
      </c>
      <c r="K126" s="0" t="n">
        <f aca="false">IFERROR(__xludf.dummyfunction("""COMPUTED_VALUE"""),11)</f>
        <v>11</v>
      </c>
    </row>
    <row r="127" customFormat="false" ht="15.75" hidden="false" customHeight="false" outlineLevel="0" collapsed="false">
      <c r="A127" s="0" t="str">
        <f aca="false">IFERROR(__xludf.dummyfunction("""COMPUTED_VALUE"""),"Коломиец")</f>
        <v>Коломиец</v>
      </c>
      <c r="B127" s="0" t="str">
        <f aca="false">IFERROR(__xludf.dummyfunction("""COMPUTED_VALUE"""),"Мария")</f>
        <v>Мария</v>
      </c>
      <c r="C127" s="0" t="n">
        <f aca="false">IFERROR(__xludf.dummyfunction("""COMPUTED_VALUE"""),9)</f>
        <v>9</v>
      </c>
      <c r="D127" s="0" t="n">
        <f aca="false">IFERROR(__xludf.dummyfunction("""COMPUTED_VALUE"""),29)</f>
        <v>29</v>
      </c>
      <c r="E127" s="12" t="str">
        <f aca="false">IFERROR(__xludf.dummyfunction("""COMPUTED_VALUE"""),"Теория потребителя")</f>
        <v>Теория потребителя</v>
      </c>
      <c r="F127" s="1" t="n">
        <f aca="false">TRUE()</f>
        <v>1</v>
      </c>
      <c r="G127" s="1" t="n">
        <f aca="false">TRUE()</f>
        <v>1</v>
      </c>
      <c r="H127" s="1" t="n">
        <f aca="false">TRUE()</f>
        <v>1</v>
      </c>
      <c r="I127" s="1" t="n">
        <f aca="false">TRUE()</f>
        <v>1</v>
      </c>
      <c r="J127" s="1" t="n">
        <f aca="false">TRUE()</f>
        <v>1</v>
      </c>
      <c r="K127" s="0" t="n">
        <f aca="false">IFERROR(__xludf.dummyfunction("""COMPUTED_VALUE"""),106)</f>
        <v>106</v>
      </c>
    </row>
    <row r="128" customFormat="false" ht="15.75" hidden="false" customHeight="false" outlineLevel="0" collapsed="false">
      <c r="A128" s="0" t="str">
        <f aca="false">IFERROR(__xludf.dummyfunction("""COMPUTED_VALUE"""),"Кошевая")</f>
        <v>Кошевая</v>
      </c>
      <c r="B128" s="0" t="str">
        <f aca="false">IFERROR(__xludf.dummyfunction("""COMPUTED_VALUE"""),"Анастасия")</f>
        <v>Анастасия</v>
      </c>
      <c r="C128" s="0" t="n">
        <f aca="false">IFERROR(__xludf.dummyfunction("""COMPUTED_VALUE"""),9)</f>
        <v>9</v>
      </c>
      <c r="D128" s="0" t="n">
        <f aca="false">IFERROR(__xludf.dummyfunction("""COMPUTED_VALUE"""),117)</f>
        <v>117</v>
      </c>
      <c r="E128" s="12" t="str">
        <f aca="false">IFERROR(__xludf.dummyfunction("""COMPUTED_VALUE"""),"Теория потребителя")</f>
        <v>Теория потребителя</v>
      </c>
      <c r="F128" s="1" t="n">
        <f aca="false">TRUE()</f>
        <v>1</v>
      </c>
      <c r="G128" s="1" t="n">
        <f aca="false">TRUE()</f>
        <v>1</v>
      </c>
      <c r="H128" s="1" t="n">
        <f aca="false">TRUE()</f>
        <v>1</v>
      </c>
      <c r="I128" s="1" t="n">
        <f aca="false">TRUE()</f>
        <v>1</v>
      </c>
      <c r="J128" s="1" t="n">
        <f aca="false">TRUE()</f>
        <v>1</v>
      </c>
      <c r="K128" s="0" t="n">
        <f aca="false">IFERROR(__xludf.dummyfunction("""COMPUTED_VALUE"""),86)</f>
        <v>86</v>
      </c>
    </row>
    <row r="129" customFormat="false" ht="15.75" hidden="false" customHeight="false" outlineLevel="0" collapsed="false">
      <c r="A129" s="0" t="str">
        <f aca="false">IFERROR(__xludf.dummyfunction("""COMPUTED_VALUE"""),"Лисина")</f>
        <v>Лисина</v>
      </c>
      <c r="B129" s="0" t="str">
        <f aca="false">IFERROR(__xludf.dummyfunction("""COMPUTED_VALUE"""),"Мария")</f>
        <v>Мария</v>
      </c>
      <c r="C129" s="0" t="n">
        <f aca="false">IFERROR(__xludf.dummyfunction("""COMPUTED_VALUE"""),10)</f>
        <v>10</v>
      </c>
      <c r="D129" s="0" t="n">
        <f aca="false">IFERROR(__xludf.dummyfunction("""COMPUTED_VALUE"""),150)</f>
        <v>150</v>
      </c>
      <c r="E129" s="12" t="str">
        <f aca="false">IFERROR(__xludf.dummyfunction("""COMPUTED_VALUE"""),"Теория потребителя")</f>
        <v>Теория потребителя</v>
      </c>
      <c r="F129" s="1" t="n">
        <f aca="false">TRUE()</f>
        <v>1</v>
      </c>
      <c r="G129" s="1" t="n">
        <f aca="false">FALSE()</f>
        <v>0</v>
      </c>
      <c r="H129" s="1" t="n">
        <f aca="false">FALSE()</f>
        <v>0</v>
      </c>
      <c r="I129" s="1" t="n">
        <f aca="false">FALSE()</f>
        <v>0</v>
      </c>
      <c r="J129" s="1" t="n">
        <f aca="false">FALSE()</f>
        <v>0</v>
      </c>
      <c r="K129" s="0" t="n">
        <f aca="false">IFERROR(__xludf.dummyfunction("""COMPUTED_VALUE"""),121)</f>
        <v>121</v>
      </c>
    </row>
    <row r="130" customFormat="false" ht="15.75" hidden="false" customHeight="false" outlineLevel="0" collapsed="false">
      <c r="A130" s="0" t="str">
        <f aca="false">IFERROR(__xludf.dummyfunction("""COMPUTED_VALUE"""),"Назаренко")</f>
        <v>Назаренко</v>
      </c>
      <c r="B130" s="0" t="str">
        <f aca="false">IFERROR(__xludf.dummyfunction("""COMPUTED_VALUE"""),"Данила")</f>
        <v>Данила</v>
      </c>
      <c r="C130" s="0" t="n">
        <f aca="false">IFERROR(__xludf.dummyfunction("""COMPUTED_VALUE"""),9)</f>
        <v>9</v>
      </c>
      <c r="D130" s="0" t="n">
        <f aca="false">IFERROR(__xludf.dummyfunction("""COMPUTED_VALUE"""),75)</f>
        <v>75</v>
      </c>
      <c r="E130" s="12" t="str">
        <f aca="false">IFERROR(__xludf.dummyfunction("""COMPUTED_VALUE"""),"Теория потребителя")</f>
        <v>Теория потребителя</v>
      </c>
      <c r="F130" s="1" t="n">
        <f aca="false">FALSE()</f>
        <v>0</v>
      </c>
      <c r="G130" s="1" t="n">
        <f aca="false">FALSE()</f>
        <v>0</v>
      </c>
      <c r="H130" s="1" t="n">
        <f aca="false">FALSE()</f>
        <v>0</v>
      </c>
      <c r="I130" s="1" t="n">
        <f aca="false">FALSE()</f>
        <v>0</v>
      </c>
      <c r="J130" s="1" t="n">
        <f aca="false">FALSE()</f>
        <v>0</v>
      </c>
      <c r="K130" s="0" t="n">
        <f aca="false">IFERROR(__xludf.dummyfunction("""COMPUTED_VALUE"""),110)</f>
        <v>110</v>
      </c>
    </row>
    <row r="131" customFormat="false" ht="15.75" hidden="false" customHeight="false" outlineLevel="0" collapsed="false">
      <c r="A131" s="0" t="str">
        <f aca="false">IFERROR(__xludf.dummyfunction("""COMPUTED_VALUE"""),"Никитин")</f>
        <v>Никитин</v>
      </c>
      <c r="B131" s="0" t="str">
        <f aca="false">IFERROR(__xludf.dummyfunction("""COMPUTED_VALUE"""),"Никита")</f>
        <v>Никита</v>
      </c>
      <c r="C131" s="0" t="n">
        <f aca="false">IFERROR(__xludf.dummyfunction("""COMPUTED_VALUE"""),10)</f>
        <v>10</v>
      </c>
      <c r="D131" s="0" t="n">
        <f aca="false">IFERROR(__xludf.dummyfunction("""COMPUTED_VALUE"""),64)</f>
        <v>64</v>
      </c>
      <c r="E131" s="12" t="str">
        <f aca="false">IFERROR(__xludf.dummyfunction("""COMPUTED_VALUE"""),"Теория потребителя")</f>
        <v>Теория потребителя</v>
      </c>
      <c r="F131" s="1" t="n">
        <f aca="false">TRUE()</f>
        <v>1</v>
      </c>
      <c r="G131" s="1" t="n">
        <f aca="false">TRUE()</f>
        <v>1</v>
      </c>
      <c r="H131" s="1" t="n">
        <f aca="false">TRUE()</f>
        <v>1</v>
      </c>
      <c r="I131" s="1" t="n">
        <f aca="false">TRUE()</f>
        <v>1</v>
      </c>
      <c r="J131" s="1" t="n">
        <f aca="false">FALSE()</f>
        <v>0</v>
      </c>
      <c r="K131" s="0" t="n">
        <f aca="false">IFERROR(__xludf.dummyfunction("""COMPUTED_VALUE"""),19)</f>
        <v>19</v>
      </c>
    </row>
    <row r="132" customFormat="false" ht="15.75" hidden="false" customHeight="false" outlineLevel="0" collapsed="false">
      <c r="A132" s="0" t="str">
        <f aca="false">IFERROR(__xludf.dummyfunction("""COMPUTED_VALUE"""),"Никифоров")</f>
        <v>Никифоров</v>
      </c>
      <c r="B132" s="0" t="str">
        <f aca="false">IFERROR(__xludf.dummyfunction("""COMPUTED_VALUE"""),"Лука")</f>
        <v>Лука</v>
      </c>
      <c r="C132" s="0" t="n">
        <f aca="false">IFERROR(__xludf.dummyfunction("""COMPUTED_VALUE"""),10)</f>
        <v>10</v>
      </c>
      <c r="D132" s="0" t="n">
        <f aca="false">IFERROR(__xludf.dummyfunction("""COMPUTED_VALUE"""),64)</f>
        <v>64</v>
      </c>
      <c r="E132" s="12" t="str">
        <f aca="false">IFERROR(__xludf.dummyfunction("""COMPUTED_VALUE"""),"Теория потребителя")</f>
        <v>Теория потребителя</v>
      </c>
      <c r="F132" s="1" t="n">
        <f aca="false">TRUE()</f>
        <v>1</v>
      </c>
      <c r="G132" s="1" t="n">
        <f aca="false">TRUE()</f>
        <v>1</v>
      </c>
      <c r="H132" s="1" t="n">
        <f aca="false">TRUE()</f>
        <v>1</v>
      </c>
      <c r="I132" s="1" t="n">
        <f aca="false">TRUE()</f>
        <v>1</v>
      </c>
      <c r="J132" s="1" t="n">
        <f aca="false">FALSE()</f>
        <v>0</v>
      </c>
      <c r="K132" s="0" t="n">
        <f aca="false">IFERROR(__xludf.dummyfunction("""COMPUTED_VALUE"""),5)</f>
        <v>5</v>
      </c>
    </row>
    <row r="133" customFormat="false" ht="15.75" hidden="false" customHeight="false" outlineLevel="0" collapsed="false">
      <c r="A133" s="0" t="str">
        <f aca="false">IFERROR(__xludf.dummyfunction("""COMPUTED_VALUE"""),"Полищук")</f>
        <v>Полищук</v>
      </c>
      <c r="B133" s="0" t="str">
        <f aca="false">IFERROR(__xludf.dummyfunction("""COMPUTED_VALUE"""),"Мария")</f>
        <v>Мария</v>
      </c>
      <c r="C133" s="0" t="n">
        <f aca="false">IFERROR(__xludf.dummyfunction("""COMPUTED_VALUE"""),9)</f>
        <v>9</v>
      </c>
      <c r="D133" s="0" t="n">
        <f aca="false">IFERROR(__xludf.dummyfunction("""COMPUTED_VALUE"""),19)</f>
        <v>19</v>
      </c>
      <c r="E133" s="12" t="str">
        <f aca="false">IFERROR(__xludf.dummyfunction("""COMPUTED_VALUE"""),"Теория потребителя")</f>
        <v>Теория потребителя</v>
      </c>
      <c r="F133" s="1" t="n">
        <f aca="false">TRUE()</f>
        <v>1</v>
      </c>
      <c r="G133" s="1" t="n">
        <f aca="false">TRUE()</f>
        <v>1</v>
      </c>
      <c r="H133" s="1" t="n">
        <f aca="false">TRUE()</f>
        <v>1</v>
      </c>
      <c r="I133" s="1" t="n">
        <f aca="false">TRUE()</f>
        <v>1</v>
      </c>
      <c r="J133" s="1" t="n">
        <f aca="false">TRUE()</f>
        <v>1</v>
      </c>
      <c r="K133" s="0" t="n">
        <f aca="false">IFERROR(__xludf.dummyfunction("""COMPUTED_VALUE"""),74)</f>
        <v>74</v>
      </c>
    </row>
    <row r="134" customFormat="false" ht="15.75" hidden="false" customHeight="false" outlineLevel="0" collapsed="false">
      <c r="A134" s="0" t="str">
        <f aca="false">IFERROR(__xludf.dummyfunction("""COMPUTED_VALUE"""),"Рождественская ")</f>
        <v>Рождественская</v>
      </c>
      <c r="B134" s="0" t="str">
        <f aca="false">IFERROR(__xludf.dummyfunction("""COMPUTED_VALUE"""),"Мария")</f>
        <v>Мария</v>
      </c>
      <c r="C134" s="0" t="n">
        <f aca="false">IFERROR(__xludf.dummyfunction("""COMPUTED_VALUE"""),10)</f>
        <v>10</v>
      </c>
      <c r="D134" s="0" t="n">
        <f aca="false">IFERROR(__xludf.dummyfunction("""COMPUTED_VALUE"""),117)</f>
        <v>117</v>
      </c>
      <c r="E134" s="12" t="str">
        <f aca="false">IFERROR(__xludf.dummyfunction("""COMPUTED_VALUE"""),"Теория потребителя")</f>
        <v>Теория потребителя</v>
      </c>
      <c r="F134" s="1" t="n">
        <f aca="false">FALSE()</f>
        <v>0</v>
      </c>
      <c r="G134" s="1" t="n">
        <f aca="false">FALSE()</f>
        <v>0</v>
      </c>
      <c r="H134" s="1" t="n">
        <f aca="false">FALSE()</f>
        <v>0</v>
      </c>
      <c r="I134" s="1" t="n">
        <f aca="false">FALSE()</f>
        <v>0</v>
      </c>
      <c r="J134" s="1" t="n">
        <f aca="false">FALSE()</f>
        <v>0</v>
      </c>
      <c r="K134" s="0" t="n">
        <f aca="false">IFERROR(__xludf.dummyfunction("""COMPUTED_VALUE"""),17)</f>
        <v>17</v>
      </c>
    </row>
    <row r="135" customFormat="false" ht="15.75" hidden="false" customHeight="false" outlineLevel="0" collapsed="false">
      <c r="A135" s="0" t="str">
        <f aca="false">IFERROR(__xludf.dummyfunction("""COMPUTED_VALUE"""),"Сафронова")</f>
        <v>Сафронова</v>
      </c>
      <c r="B135" s="0" t="str">
        <f aca="false">IFERROR(__xludf.dummyfunction("""COMPUTED_VALUE"""),"Ирина")</f>
        <v>Ирина</v>
      </c>
      <c r="C135" s="0" t="n">
        <f aca="false">IFERROR(__xludf.dummyfunction("""COMPUTED_VALUE"""),10)</f>
        <v>10</v>
      </c>
      <c r="D135" s="0" t="n">
        <f aca="false">IFERROR(__xludf.dummyfunction("""COMPUTED_VALUE"""),26)</f>
        <v>26</v>
      </c>
      <c r="E135" s="12" t="str">
        <f aca="false">IFERROR(__xludf.dummyfunction("""COMPUTED_VALUE"""),"Теория потребителя")</f>
        <v>Теория потребителя</v>
      </c>
      <c r="F135" s="1" t="n">
        <f aca="false">TRUE()</f>
        <v>1</v>
      </c>
      <c r="G135" s="1" t="n">
        <f aca="false">TRUE()</f>
        <v>1</v>
      </c>
      <c r="H135" s="1" t="n">
        <f aca="false">TRUE()</f>
        <v>1</v>
      </c>
      <c r="I135" s="1" t="n">
        <f aca="false">TRUE()</f>
        <v>1</v>
      </c>
      <c r="J135" s="1" t="n">
        <f aca="false">TRUE()</f>
        <v>1</v>
      </c>
      <c r="K135" s="0" t="n">
        <f aca="false">IFERROR(__xludf.dummyfunction("""COMPUTED_VALUE"""),116)</f>
        <v>116</v>
      </c>
    </row>
    <row r="136" customFormat="false" ht="15.75" hidden="false" customHeight="false" outlineLevel="0" collapsed="false">
      <c r="A136" s="0" t="str">
        <f aca="false">IFERROR(__xludf.dummyfunction("""COMPUTED_VALUE"""),"Синельникова ")</f>
        <v>Синельникова</v>
      </c>
      <c r="B136" s="0" t="str">
        <f aca="false">IFERROR(__xludf.dummyfunction("""COMPUTED_VALUE"""),"Поля")</f>
        <v>Поля</v>
      </c>
      <c r="C136" s="0" t="n">
        <f aca="false">IFERROR(__xludf.dummyfunction("""COMPUTED_VALUE"""),11)</f>
        <v>11</v>
      </c>
      <c r="D136" s="0" t="n">
        <f aca="false">IFERROR(__xludf.dummyfunction("""COMPUTED_VALUE"""),19)</f>
        <v>19</v>
      </c>
      <c r="E136" s="12" t="str">
        <f aca="false">IFERROR(__xludf.dummyfunction("""COMPUTED_VALUE"""),"Теория потребителя")</f>
        <v>Теория потребителя</v>
      </c>
      <c r="F136" s="1" t="n">
        <f aca="false">TRUE()</f>
        <v>1</v>
      </c>
      <c r="G136" s="1" t="n">
        <f aca="false">TRUE()</f>
        <v>1</v>
      </c>
      <c r="H136" s="1" t="n">
        <f aca="false">FALSE()</f>
        <v>0</v>
      </c>
      <c r="I136" s="1" t="n">
        <f aca="false">FALSE()</f>
        <v>0</v>
      </c>
      <c r="J136" s="1" t="n">
        <f aca="false">FALSE()</f>
        <v>0</v>
      </c>
      <c r="K136" s="0" t="n">
        <f aca="false">IFERROR(__xludf.dummyfunction("""COMPUTED_VALUE"""),2)</f>
        <v>2</v>
      </c>
    </row>
    <row r="137" customFormat="false" ht="15.75" hidden="false" customHeight="false" outlineLevel="0" collapsed="false">
      <c r="A137" s="0" t="str">
        <f aca="false">IFERROR(__xludf.dummyfunction("""COMPUTED_VALUE"""),"Фёдорова")</f>
        <v>Фёдорова</v>
      </c>
      <c r="B137" s="0" t="str">
        <f aca="false">IFERROR(__xludf.dummyfunction("""COMPUTED_VALUE"""),"Ксения")</f>
        <v>Ксения</v>
      </c>
      <c r="C137" s="0" t="n">
        <f aca="false">IFERROR(__xludf.dummyfunction("""COMPUTED_VALUE"""),11)</f>
        <v>11</v>
      </c>
      <c r="D137" s="0" t="n">
        <f aca="false">IFERROR(__xludf.dummyfunction("""COMPUTED_VALUE"""),140)</f>
        <v>140</v>
      </c>
      <c r="E137" s="12" t="str">
        <f aca="false">IFERROR(__xludf.dummyfunction("""COMPUTED_VALUE"""),"Теория потребителя")</f>
        <v>Теория потребителя</v>
      </c>
      <c r="F137" s="1" t="n">
        <f aca="false">TRUE()</f>
        <v>1</v>
      </c>
      <c r="G137" s="1" t="n">
        <f aca="false">TRUE()</f>
        <v>1</v>
      </c>
      <c r="H137" s="1" t="n">
        <f aca="false">TRUE()</f>
        <v>1</v>
      </c>
      <c r="I137" s="1" t="n">
        <f aca="false">TRUE()</f>
        <v>1</v>
      </c>
      <c r="J137" s="1" t="n">
        <f aca="false">FALSE()</f>
        <v>0</v>
      </c>
      <c r="K137" s="0" t="n">
        <f aca="false">IFERROR(__xludf.dummyfunction("""COMPUTED_VALUE"""),71)</f>
        <v>71</v>
      </c>
    </row>
    <row r="138" customFormat="false" ht="15.75" hidden="false" customHeight="false" outlineLevel="0" collapsed="false">
      <c r="A138" s="0" t="str">
        <f aca="false">IFERROR(__xludf.dummyfunction("""COMPUTED_VALUE"""),"Фирстова")</f>
        <v>Фирстова</v>
      </c>
      <c r="B138" s="0" t="str">
        <f aca="false">IFERROR(__xludf.dummyfunction("""COMPUTED_VALUE"""),"Екатерина")</f>
        <v>Екатерина</v>
      </c>
      <c r="C138" s="0" t="n">
        <f aca="false">IFERROR(__xludf.dummyfunction("""COMPUTED_VALUE"""),10)</f>
        <v>10</v>
      </c>
      <c r="D138" s="0" t="n">
        <f aca="false">IFERROR(__xludf.dummyfunction("""COMPUTED_VALUE"""),64)</f>
        <v>64</v>
      </c>
      <c r="E138" s="12" t="str">
        <f aca="false">IFERROR(__xludf.dummyfunction("""COMPUTED_VALUE"""),"Теория потребителя")</f>
        <v>Теория потребителя</v>
      </c>
      <c r="F138" s="1" t="n">
        <f aca="false">FALSE()</f>
        <v>0</v>
      </c>
      <c r="G138" s="1" t="n">
        <f aca="false">FALSE()</f>
        <v>0</v>
      </c>
      <c r="H138" s="1" t="n">
        <f aca="false">FALSE()</f>
        <v>0</v>
      </c>
      <c r="I138" s="1" t="n">
        <f aca="false">FALSE()</f>
        <v>0</v>
      </c>
      <c r="J138" s="1" t="n">
        <f aca="false">FALSE()</f>
        <v>0</v>
      </c>
      <c r="K138" s="0" t="n">
        <f aca="false">IFERROR(__xludf.dummyfunction("""COMPUTED_VALUE"""),40)</f>
        <v>40</v>
      </c>
    </row>
    <row r="139" customFormat="false" ht="15.75" hidden="false" customHeight="false" outlineLevel="0" collapsed="false">
      <c r="A139" s="0" t="str">
        <f aca="false">IFERROR(__xludf.dummyfunction("""COMPUTED_VALUE"""),"Шишко")</f>
        <v>Шишко</v>
      </c>
      <c r="B139" s="0" t="str">
        <f aca="false">IFERROR(__xludf.dummyfunction("""COMPUTED_VALUE"""),"Алёна ")</f>
        <v>Алёна</v>
      </c>
      <c r="C139" s="0" t="n">
        <f aca="false">IFERROR(__xludf.dummyfunction("""COMPUTED_VALUE"""),9)</f>
        <v>9</v>
      </c>
      <c r="D139" s="0" t="n">
        <f aca="false">IFERROR(__xludf.dummyfunction("""COMPUTED_VALUE"""),117)</f>
        <v>117</v>
      </c>
      <c r="E139" s="12" t="str">
        <f aca="false">IFERROR(__xludf.dummyfunction("""COMPUTED_VALUE"""),"Теория потребителя")</f>
        <v>Теория потребителя</v>
      </c>
      <c r="F139" s="1" t="n">
        <f aca="false">TRUE()</f>
        <v>1</v>
      </c>
      <c r="G139" s="1" t="n">
        <f aca="false">TRUE()</f>
        <v>1</v>
      </c>
      <c r="H139" s="1" t="n">
        <f aca="false">TRUE()</f>
        <v>1</v>
      </c>
      <c r="I139" s="1" t="n">
        <f aca="false">TRUE()</f>
        <v>1</v>
      </c>
      <c r="J139" s="1" t="n">
        <f aca="false">FALSE()</f>
        <v>0</v>
      </c>
      <c r="K139" s="0" t="n">
        <f aca="false">IFERROR(__xludf.dummyfunction("""COMPUTED_VALUE"""),93)</f>
        <v>93</v>
      </c>
    </row>
    <row r="140" customFormat="false" ht="15.75" hidden="false" customHeight="false" outlineLevel="0" collapsed="false">
      <c r="A140" s="0" t="str">
        <f aca="false">IFERROR(__xludf.dummyfunction("""COMPUTED_VALUE"""),"Ячменёва")</f>
        <v>Ячменёва</v>
      </c>
      <c r="B140" s="0" t="str">
        <f aca="false">IFERROR(__xludf.dummyfunction("""COMPUTED_VALUE"""),"Василиса")</f>
        <v>Василиса</v>
      </c>
      <c r="C140" s="0" t="n">
        <f aca="false">IFERROR(__xludf.dummyfunction("""COMPUTED_VALUE"""),11)</f>
        <v>11</v>
      </c>
      <c r="D140" s="0" t="n">
        <f aca="false">IFERROR(__xludf.dummyfunction("""COMPUTED_VALUE"""),140)</f>
        <v>140</v>
      </c>
      <c r="E140" s="12" t="str">
        <f aca="false">IFERROR(__xludf.dummyfunction("""COMPUTED_VALUE"""),"Теория потребителя")</f>
        <v>Теория потребителя</v>
      </c>
      <c r="F140" s="1" t="n">
        <f aca="false">TRUE()</f>
        <v>1</v>
      </c>
      <c r="G140" s="1" t="n">
        <f aca="false">TRUE()</f>
        <v>1</v>
      </c>
      <c r="H140" s="1" t="n">
        <f aca="false">TRUE()</f>
        <v>1</v>
      </c>
      <c r="I140" s="1" t="n">
        <f aca="false">TRUE()</f>
        <v>1</v>
      </c>
      <c r="J140" s="1" t="n">
        <f aca="false">TRUE()</f>
        <v>1</v>
      </c>
      <c r="K140" s="0" t="n">
        <f aca="false">IFERROR(__xludf.dummyfunction("""COMPUTED_VALUE"""),77)</f>
        <v>77</v>
      </c>
    </row>
    <row r="141" customFormat="false" ht="15.75" hidden="false" customHeight="false" outlineLevel="0" collapsed="false">
      <c r="A141" s="0" t="str">
        <f aca="false">IFERROR(__xludf.dummyfunction("""COMPUTED_VALUE"""),"Барнёва")</f>
        <v>Барнёва</v>
      </c>
      <c r="B141" s="0" t="str">
        <f aca="false">IFERROR(__xludf.dummyfunction("""COMPUTED_VALUE"""),"Софья")</f>
        <v>Софья</v>
      </c>
      <c r="C141" s="0" t="n">
        <f aca="false">IFERROR(__xludf.dummyfunction("""COMPUTED_VALUE"""),9)</f>
        <v>9</v>
      </c>
      <c r="D141" s="0" t="n">
        <f aca="false">IFERROR(__xludf.dummyfunction("""COMPUTED_VALUE"""),117)</f>
        <v>117</v>
      </c>
      <c r="E141" s="12" t="str">
        <f aca="false">IFERROR(__xludf.dummyfunction("""COMPUTED_VALUE"""),"Физика и жизнь")</f>
        <v>Физика и жизнь</v>
      </c>
      <c r="F141" s="1" t="n">
        <f aca="false">FALSE()</f>
        <v>0</v>
      </c>
      <c r="G141" s="1" t="n">
        <f aca="false">FALSE()</f>
        <v>0</v>
      </c>
      <c r="H141" s="1" t="n">
        <f aca="false">FALSE()</f>
        <v>0</v>
      </c>
      <c r="I141" s="1" t="n">
        <f aca="false">FALSE()</f>
        <v>0</v>
      </c>
      <c r="J141" s="1" t="n">
        <f aca="false">FALSE()</f>
        <v>0</v>
      </c>
      <c r="K141" s="0" t="n">
        <f aca="false">IFERROR(__xludf.dummyfunction("""COMPUTED_VALUE"""),22)</f>
        <v>22</v>
      </c>
    </row>
    <row r="142" customFormat="false" ht="15.75" hidden="false" customHeight="false" outlineLevel="0" collapsed="false">
      <c r="A142" s="0" t="str">
        <f aca="false">IFERROR(__xludf.dummyfunction("""COMPUTED_VALUE"""),"Братухина ")</f>
        <v>Братухина</v>
      </c>
      <c r="B142" s="0" t="str">
        <f aca="false">IFERROR(__xludf.dummyfunction("""COMPUTED_VALUE"""),"Альбина")</f>
        <v>Альбина</v>
      </c>
      <c r="C142" s="0" t="n">
        <f aca="false">IFERROR(__xludf.dummyfunction("""COMPUTED_VALUE"""),10)</f>
        <v>10</v>
      </c>
      <c r="D142" s="0" t="n">
        <f aca="false">IFERROR(__xludf.dummyfunction("""COMPUTED_VALUE"""),139)</f>
        <v>139</v>
      </c>
      <c r="E142" s="12" t="str">
        <f aca="false">IFERROR(__xludf.dummyfunction("""COMPUTED_VALUE"""),"Физика и жизнь")</f>
        <v>Физика и жизнь</v>
      </c>
      <c r="F142" s="1" t="n">
        <f aca="false">TRUE()</f>
        <v>1</v>
      </c>
      <c r="G142" s="1" t="n">
        <f aca="false">TRUE()</f>
        <v>1</v>
      </c>
      <c r="H142" s="1" t="n">
        <f aca="false">TRUE()</f>
        <v>1</v>
      </c>
      <c r="I142" s="1" t="n">
        <f aca="false">TRUE()</f>
        <v>1</v>
      </c>
      <c r="J142" s="1" t="n">
        <f aca="false">TRUE()</f>
        <v>1</v>
      </c>
      <c r="K142" s="0" t="n">
        <f aca="false">IFERROR(__xludf.dummyfunction("""COMPUTED_VALUE"""),42)</f>
        <v>42</v>
      </c>
    </row>
    <row r="143" customFormat="false" ht="15.75" hidden="false" customHeight="false" outlineLevel="0" collapsed="false">
      <c r="A143" s="0" t="str">
        <f aca="false">IFERROR(__xludf.dummyfunction("""COMPUTED_VALUE"""),"Гасилен")</f>
        <v>Гасилен</v>
      </c>
      <c r="B143" s="0" t="str">
        <f aca="false">IFERROR(__xludf.dummyfunction("""COMPUTED_VALUE"""),"Иван")</f>
        <v>Иван</v>
      </c>
      <c r="C143" s="0" t="n">
        <f aca="false">IFERROR(__xludf.dummyfunction("""COMPUTED_VALUE"""),9)</f>
        <v>9</v>
      </c>
      <c r="D143" s="0" t="n">
        <f aca="false">IFERROR(__xludf.dummyfunction("""COMPUTED_VALUE"""),117)</f>
        <v>117</v>
      </c>
      <c r="E143" s="12" t="str">
        <f aca="false">IFERROR(__xludf.dummyfunction("""COMPUTED_VALUE"""),"Физика и жизнь")</f>
        <v>Физика и жизнь</v>
      </c>
      <c r="F143" s="1" t="n">
        <f aca="false">TRUE()</f>
        <v>1</v>
      </c>
      <c r="G143" s="1" t="n">
        <f aca="false">TRUE()</f>
        <v>1</v>
      </c>
      <c r="H143" s="1" t="n">
        <f aca="false">TRUE()</f>
        <v>1</v>
      </c>
      <c r="I143" s="1" t="n">
        <f aca="false">TRUE()</f>
        <v>1</v>
      </c>
      <c r="J143" s="1" t="n">
        <f aca="false">TRUE()</f>
        <v>1</v>
      </c>
      <c r="K143" s="0" t="n">
        <f aca="false">IFERROR(__xludf.dummyfunction("""COMPUTED_VALUE"""),112)</f>
        <v>112</v>
      </c>
    </row>
    <row r="144" customFormat="false" ht="15.75" hidden="false" customHeight="false" outlineLevel="0" collapsed="false">
      <c r="A144" s="0" t="str">
        <f aca="false">IFERROR(__xludf.dummyfunction("""COMPUTED_VALUE"""),"Деркач")</f>
        <v>Деркач</v>
      </c>
      <c r="B144" s="0" t="str">
        <f aca="false">IFERROR(__xludf.dummyfunction("""COMPUTED_VALUE"""),"Александра")</f>
        <v>Александра</v>
      </c>
      <c r="C144" s="0" t="n">
        <f aca="false">IFERROR(__xludf.dummyfunction("""COMPUTED_VALUE"""),9)</f>
        <v>9</v>
      </c>
      <c r="D144" s="0" t="n">
        <f aca="false">IFERROR(__xludf.dummyfunction("""COMPUTED_VALUE"""),117)</f>
        <v>117</v>
      </c>
      <c r="E144" s="12" t="str">
        <f aca="false">IFERROR(__xludf.dummyfunction("""COMPUTED_VALUE"""),"Физика и жизнь")</f>
        <v>Физика и жизнь</v>
      </c>
      <c r="F144" s="1" t="n">
        <f aca="false">FALSE()</f>
        <v>0</v>
      </c>
      <c r="G144" s="1" t="n">
        <f aca="false">FALSE()</f>
        <v>0</v>
      </c>
      <c r="H144" s="1" t="n">
        <f aca="false">FALSE()</f>
        <v>0</v>
      </c>
      <c r="I144" s="1" t="n">
        <f aca="false">FALSE()</f>
        <v>0</v>
      </c>
      <c r="J144" s="1" t="n">
        <f aca="false">FALSE()</f>
        <v>0</v>
      </c>
      <c r="K144" s="0" t="n">
        <f aca="false">IFERROR(__xludf.dummyfunction("""COMPUTED_VALUE"""),35)</f>
        <v>35</v>
      </c>
    </row>
    <row r="145" customFormat="false" ht="15.75" hidden="false" customHeight="false" outlineLevel="0" collapsed="false">
      <c r="A145" s="0" t="str">
        <f aca="false">IFERROR(__xludf.dummyfunction("""COMPUTED_VALUE"""),"Жилин")</f>
        <v>Жилин</v>
      </c>
      <c r="B145" s="0" t="str">
        <f aca="false">IFERROR(__xludf.dummyfunction("""COMPUTED_VALUE"""),"Михаил")</f>
        <v>Михаил</v>
      </c>
      <c r="C145" s="0" t="n">
        <f aca="false">IFERROR(__xludf.dummyfunction("""COMPUTED_VALUE"""),9)</f>
        <v>9</v>
      </c>
      <c r="D145" s="0" t="n">
        <f aca="false">IFERROR(__xludf.dummyfunction("""COMPUTED_VALUE"""),117)</f>
        <v>117</v>
      </c>
      <c r="E145" s="12" t="str">
        <f aca="false">IFERROR(__xludf.dummyfunction("""COMPUTED_VALUE"""),"Физика и жизнь")</f>
        <v>Физика и жизнь</v>
      </c>
      <c r="F145" s="1" t="n">
        <f aca="false">TRUE()</f>
        <v>1</v>
      </c>
      <c r="G145" s="1" t="n">
        <f aca="false">TRUE()</f>
        <v>1</v>
      </c>
      <c r="H145" s="1" t="n">
        <f aca="false">TRUE()</f>
        <v>1</v>
      </c>
      <c r="I145" s="1" t="n">
        <f aca="false">TRUE()</f>
        <v>1</v>
      </c>
      <c r="J145" s="1" t="n">
        <f aca="false">FALSE()</f>
        <v>0</v>
      </c>
      <c r="K145" s="0" t="n">
        <f aca="false">IFERROR(__xludf.dummyfunction("""COMPUTED_VALUE"""),133)</f>
        <v>133</v>
      </c>
    </row>
    <row r="146" customFormat="false" ht="15.75" hidden="false" customHeight="false" outlineLevel="0" collapsed="false">
      <c r="A146" s="0" t="str">
        <f aca="false">IFERROR(__xludf.dummyfunction("""COMPUTED_VALUE"""),"Каяшов")</f>
        <v>Каяшов</v>
      </c>
      <c r="B146" s="0" t="str">
        <f aca="false">IFERROR(__xludf.dummyfunction("""COMPUTED_VALUE"""),"Даниил")</f>
        <v>Даниил</v>
      </c>
      <c r="C146" s="0" t="n">
        <f aca="false">IFERROR(__xludf.dummyfunction("""COMPUTED_VALUE"""),9)</f>
        <v>9</v>
      </c>
      <c r="D146" s="0" t="n">
        <f aca="false">IFERROR(__xludf.dummyfunction("""COMPUTED_VALUE"""),117)</f>
        <v>117</v>
      </c>
      <c r="E146" s="12" t="str">
        <f aca="false">IFERROR(__xludf.dummyfunction("""COMPUTED_VALUE"""),"Физика и жизнь")</f>
        <v>Физика и жизнь</v>
      </c>
      <c r="F146" s="1" t="n">
        <f aca="false">FALSE()</f>
        <v>0</v>
      </c>
      <c r="G146" s="1" t="n">
        <f aca="false">FALSE()</f>
        <v>0</v>
      </c>
      <c r="H146" s="1" t="n">
        <f aca="false">FALSE()</f>
        <v>0</v>
      </c>
      <c r="I146" s="1" t="n">
        <f aca="false">FALSE()</f>
        <v>0</v>
      </c>
      <c r="J146" s="1" t="n">
        <f aca="false">FALSE()</f>
        <v>0</v>
      </c>
      <c r="K146" s="0" t="n">
        <f aca="false">IFERROR(__xludf.dummyfunction("""COMPUTED_VALUE"""),120)</f>
        <v>120</v>
      </c>
    </row>
    <row r="147" customFormat="false" ht="15.75" hidden="false" customHeight="false" outlineLevel="0" collapsed="false">
      <c r="A147" s="0" t="str">
        <f aca="false">IFERROR(__xludf.dummyfunction("""COMPUTED_VALUE"""),"Крючков")</f>
        <v>Крючков</v>
      </c>
      <c r="B147" s="0" t="str">
        <f aca="false">IFERROR(__xludf.dummyfunction("""COMPUTED_VALUE"""),"Михаил")</f>
        <v>Михаил</v>
      </c>
      <c r="C147" s="0" t="n">
        <f aca="false">IFERROR(__xludf.dummyfunction("""COMPUTED_VALUE"""),8)</f>
        <v>8</v>
      </c>
      <c r="D147" s="0" t="n">
        <f aca="false">IFERROR(__xludf.dummyfunction("""COMPUTED_VALUE"""),66)</f>
        <v>66</v>
      </c>
      <c r="E147" s="12" t="str">
        <f aca="false">IFERROR(__xludf.dummyfunction("""COMPUTED_VALUE"""),"Физика и жизнь")</f>
        <v>Физика и жизнь</v>
      </c>
      <c r="F147" s="1" t="n">
        <f aca="false">TRUE()</f>
        <v>1</v>
      </c>
      <c r="G147" s="1" t="n">
        <f aca="false">TRUE()</f>
        <v>1</v>
      </c>
      <c r="H147" s="1" t="n">
        <f aca="false">TRUE()</f>
        <v>1</v>
      </c>
      <c r="I147" s="1" t="n">
        <f aca="false">TRUE()</f>
        <v>1</v>
      </c>
      <c r="J147" s="1" t="n">
        <f aca="false">TRUE()</f>
        <v>1</v>
      </c>
      <c r="K147" s="0" t="n">
        <f aca="false">IFERROR(__xludf.dummyfunction("""COMPUTED_VALUE"""),56)</f>
        <v>56</v>
      </c>
    </row>
    <row r="148" customFormat="false" ht="15.75" hidden="false" customHeight="false" outlineLevel="0" collapsed="false">
      <c r="A148" s="0" t="str">
        <f aca="false">IFERROR(__xludf.dummyfunction("""COMPUTED_VALUE"""),"Моргун ")</f>
        <v>Моргун</v>
      </c>
      <c r="B148" s="0" t="str">
        <f aca="false">IFERROR(__xludf.dummyfunction("""COMPUTED_VALUE"""),"Иван")</f>
        <v>Иван</v>
      </c>
      <c r="C148" s="0" t="n">
        <f aca="false">IFERROR(__xludf.dummyfunction("""COMPUTED_VALUE"""),9)</f>
        <v>9</v>
      </c>
      <c r="D148" s="0" t="n">
        <f aca="false">IFERROR(__xludf.dummyfunction("""COMPUTED_VALUE"""),117)</f>
        <v>117</v>
      </c>
      <c r="E148" s="12" t="str">
        <f aca="false">IFERROR(__xludf.dummyfunction("""COMPUTED_VALUE"""),"Физика и жизнь")</f>
        <v>Физика и жизнь</v>
      </c>
      <c r="F148" s="1" t="n">
        <f aca="false">TRUE()</f>
        <v>1</v>
      </c>
      <c r="G148" s="1" t="n">
        <f aca="false">TRUE()</f>
        <v>1</v>
      </c>
      <c r="H148" s="1" t="n">
        <f aca="false">FALSE()</f>
        <v>0</v>
      </c>
      <c r="I148" s="1" t="n">
        <f aca="false">FALSE()</f>
        <v>0</v>
      </c>
      <c r="J148" s="1" t="n">
        <f aca="false">FALSE()</f>
        <v>0</v>
      </c>
      <c r="K148" s="0" t="n">
        <f aca="false">IFERROR(__xludf.dummyfunction("""COMPUTED_VALUE"""),62)</f>
        <v>62</v>
      </c>
    </row>
    <row r="149" customFormat="false" ht="15.75" hidden="false" customHeight="false" outlineLevel="0" collapsed="false">
      <c r="A149" s="0" t="str">
        <f aca="false">IFERROR(__xludf.dummyfunction("""COMPUTED_VALUE"""),"Николаев ")</f>
        <v>Николаев</v>
      </c>
      <c r="B149" s="0" t="str">
        <f aca="false">IFERROR(__xludf.dummyfunction("""COMPUTED_VALUE"""),"Сергей ")</f>
        <v>Сергей</v>
      </c>
      <c r="C149" s="0" t="n">
        <f aca="false">IFERROR(__xludf.dummyfunction("""COMPUTED_VALUE"""),8)</f>
        <v>8</v>
      </c>
      <c r="D149" s="0" t="n">
        <f aca="false">IFERROR(__xludf.dummyfunction("""COMPUTED_VALUE"""),146)</f>
        <v>146</v>
      </c>
      <c r="E149" s="12" t="str">
        <f aca="false">IFERROR(__xludf.dummyfunction("""COMPUTED_VALUE"""),"Физика и жизнь")</f>
        <v>Физика и жизнь</v>
      </c>
      <c r="F149" s="1" t="n">
        <f aca="false">FALSE()</f>
        <v>0</v>
      </c>
      <c r="G149" s="1" t="n">
        <f aca="false">FALSE()</f>
        <v>0</v>
      </c>
      <c r="H149" s="1" t="n">
        <f aca="false">FALSE()</f>
        <v>0</v>
      </c>
      <c r="I149" s="1" t="n">
        <f aca="false">FALSE()</f>
        <v>0</v>
      </c>
      <c r="J149" s="1" t="n">
        <f aca="false">FALSE()</f>
        <v>0</v>
      </c>
      <c r="K149" s="0" t="n">
        <f aca="false">IFERROR(__xludf.dummyfunction("""COMPUTED_VALUE"""),127)</f>
        <v>127</v>
      </c>
    </row>
    <row r="150" customFormat="false" ht="15.75" hidden="false" customHeight="false" outlineLevel="0" collapsed="false">
      <c r="A150" s="0" t="str">
        <f aca="false">IFERROR(__xludf.dummyfunction("""COMPUTED_VALUE"""),"Панева")</f>
        <v>Панева</v>
      </c>
      <c r="B150" s="0" t="str">
        <f aca="false">IFERROR(__xludf.dummyfunction("""COMPUTED_VALUE"""),"Иляна ")</f>
        <v>Иляна</v>
      </c>
      <c r="C150" s="0" t="n">
        <f aca="false">IFERROR(__xludf.dummyfunction("""COMPUTED_VALUE"""),10)</f>
        <v>10</v>
      </c>
      <c r="D150" s="0" t="n">
        <f aca="false">IFERROR(__xludf.dummyfunction("""COMPUTED_VALUE"""),149)</f>
        <v>149</v>
      </c>
      <c r="E150" s="12" t="str">
        <f aca="false">IFERROR(__xludf.dummyfunction("""COMPUTED_VALUE"""),"Физика и жизнь")</f>
        <v>Физика и жизнь</v>
      </c>
      <c r="F150" s="1" t="n">
        <f aca="false">FALSE()</f>
        <v>0</v>
      </c>
      <c r="G150" s="1" t="n">
        <f aca="false">FALSE()</f>
        <v>0</v>
      </c>
      <c r="H150" s="1" t="n">
        <f aca="false">FALSE()</f>
        <v>0</v>
      </c>
      <c r="I150" s="1" t="n">
        <f aca="false">FALSE()</f>
        <v>0</v>
      </c>
      <c r="J150" s="1" t="n">
        <f aca="false">FALSE()</f>
        <v>0</v>
      </c>
      <c r="K150" s="0" t="n">
        <f aca="false">IFERROR(__xludf.dummyfunction("""COMPUTED_VALUE"""),128)</f>
        <v>128</v>
      </c>
    </row>
    <row r="151" customFormat="false" ht="15.75" hidden="false" customHeight="false" outlineLevel="0" collapsed="false">
      <c r="A151" s="0" t="str">
        <f aca="false">IFERROR(__xludf.dummyfunction("""COMPUTED_VALUE"""),"Проворкина")</f>
        <v>Проворкина</v>
      </c>
      <c r="B151" s="0" t="str">
        <f aca="false">IFERROR(__xludf.dummyfunction("""COMPUTED_VALUE"""),"Анастасия")</f>
        <v>Анастасия</v>
      </c>
      <c r="C151" s="0" t="n">
        <f aca="false">IFERROR(__xludf.dummyfunction("""COMPUTED_VALUE"""),10)</f>
        <v>10</v>
      </c>
      <c r="D151" s="0" t="n">
        <f aca="false">IFERROR(__xludf.dummyfunction("""COMPUTED_VALUE"""),142)</f>
        <v>142</v>
      </c>
      <c r="E151" s="12" t="str">
        <f aca="false">IFERROR(__xludf.dummyfunction("""COMPUTED_VALUE"""),"Физика и жизнь")</f>
        <v>Физика и жизнь</v>
      </c>
      <c r="F151" s="1" t="n">
        <f aca="false">TRUE()</f>
        <v>1</v>
      </c>
      <c r="G151" s="1" t="n">
        <f aca="false">TRUE()</f>
        <v>1</v>
      </c>
      <c r="H151" s="1" t="n">
        <f aca="false">TRUE()</f>
        <v>1</v>
      </c>
      <c r="I151" s="1" t="n">
        <f aca="false">TRUE()</f>
        <v>1</v>
      </c>
      <c r="J151" s="1" t="n">
        <f aca="false">TRUE()</f>
        <v>1</v>
      </c>
      <c r="K151" s="0" t="n">
        <f aca="false">IFERROR(__xludf.dummyfunction("""COMPUTED_VALUE"""),85)</f>
        <v>85</v>
      </c>
    </row>
    <row r="152" customFormat="false" ht="15.75" hidden="false" customHeight="false" outlineLevel="0" collapsed="false">
      <c r="A152" s="0" t="str">
        <f aca="false">IFERROR(__xludf.dummyfunction("""COMPUTED_VALUE"""),"Рядовой")</f>
        <v>Рядовой</v>
      </c>
      <c r="B152" s="0" t="str">
        <f aca="false">IFERROR(__xludf.dummyfunction("""COMPUTED_VALUE"""),"Тимофей")</f>
        <v>Тимофей</v>
      </c>
      <c r="C152" s="0" t="n">
        <f aca="false">IFERROR(__xludf.dummyfunction("""COMPUTED_VALUE"""),9)</f>
        <v>9</v>
      </c>
      <c r="D152" s="0" t="n">
        <f aca="false">IFERROR(__xludf.dummyfunction("""COMPUTED_VALUE"""),117)</f>
        <v>117</v>
      </c>
      <c r="E152" s="12" t="str">
        <f aca="false">IFERROR(__xludf.dummyfunction("""COMPUTED_VALUE"""),"Физика и жизнь")</f>
        <v>Физика и жизнь</v>
      </c>
      <c r="F152" s="1" t="n">
        <f aca="false">FALSE()</f>
        <v>0</v>
      </c>
      <c r="G152" s="1" t="n">
        <f aca="false">FALSE()</f>
        <v>0</v>
      </c>
      <c r="H152" s="1" t="n">
        <f aca="false">FALSE()</f>
        <v>0</v>
      </c>
      <c r="I152" s="1" t="n">
        <f aca="false">FALSE()</f>
        <v>0</v>
      </c>
      <c r="J152" s="1" t="n">
        <f aca="false">FALSE()</f>
        <v>0</v>
      </c>
      <c r="K152" s="0" t="n">
        <f aca="false">IFERROR(__xludf.dummyfunction("""COMPUTED_VALUE"""),61)</f>
        <v>61</v>
      </c>
    </row>
    <row r="153" customFormat="false" ht="15.75" hidden="false" customHeight="false" outlineLevel="0" collapsed="false">
      <c r="A153" s="0" t="str">
        <f aca="false">IFERROR(__xludf.dummyfunction("""COMPUTED_VALUE"""),"Смирнов")</f>
        <v>Смирнов</v>
      </c>
      <c r="B153" s="0" t="str">
        <f aca="false">IFERROR(__xludf.dummyfunction("""COMPUTED_VALUE"""),"Михаил")</f>
        <v>Михаил</v>
      </c>
      <c r="C153" s="0" t="n">
        <f aca="false">IFERROR(__xludf.dummyfunction("""COMPUTED_VALUE"""),9)</f>
        <v>9</v>
      </c>
      <c r="D153" s="0" t="n">
        <f aca="false">IFERROR(__xludf.dummyfunction("""COMPUTED_VALUE"""),117)</f>
        <v>117</v>
      </c>
      <c r="E153" s="12" t="str">
        <f aca="false">IFERROR(__xludf.dummyfunction("""COMPUTED_VALUE"""),"Физика и жизнь")</f>
        <v>Физика и жизнь</v>
      </c>
      <c r="F153" s="1" t="n">
        <f aca="false">TRUE()</f>
        <v>1</v>
      </c>
      <c r="G153" s="1" t="n">
        <f aca="false">TRUE()</f>
        <v>1</v>
      </c>
      <c r="H153" s="1" t="n">
        <f aca="false">TRUE()</f>
        <v>1</v>
      </c>
      <c r="I153" s="1" t="n">
        <f aca="false">TRUE()</f>
        <v>1</v>
      </c>
      <c r="J153" s="1" t="n">
        <f aca="false">TRUE()</f>
        <v>1</v>
      </c>
      <c r="K153" s="0" t="n">
        <f aca="false">IFERROR(__xludf.dummyfunction("""COMPUTED_VALUE"""),124)</f>
        <v>124</v>
      </c>
    </row>
    <row r="154" customFormat="false" ht="15.75" hidden="false" customHeight="false" outlineLevel="0" collapsed="false">
      <c r="A154" s="0" t="str">
        <f aca="false">IFERROR(__xludf.dummyfunction("""COMPUTED_VALUE"""),"Ткаченко")</f>
        <v>Ткаченко</v>
      </c>
      <c r="B154" s="0" t="str">
        <f aca="false">IFERROR(__xludf.dummyfunction("""COMPUTED_VALUE"""),"Юлия")</f>
        <v>Юлия</v>
      </c>
      <c r="C154" s="0" t="n">
        <f aca="false">IFERROR(__xludf.dummyfunction("""COMPUTED_VALUE"""),9)</f>
        <v>9</v>
      </c>
      <c r="D154" s="0" t="n">
        <f aca="false">IFERROR(__xludf.dummyfunction("""COMPUTED_VALUE"""),139)</f>
        <v>139</v>
      </c>
      <c r="E154" s="12" t="str">
        <f aca="false">IFERROR(__xludf.dummyfunction("""COMPUTED_VALUE"""),"Физика и жизнь")</f>
        <v>Физика и жизнь</v>
      </c>
      <c r="F154" s="1" t="n">
        <f aca="false">TRUE()</f>
        <v>1</v>
      </c>
      <c r="G154" s="1" t="n">
        <f aca="false">TRUE()</f>
        <v>1</v>
      </c>
      <c r="H154" s="1" t="n">
        <f aca="false">TRUE()</f>
        <v>1</v>
      </c>
      <c r="I154" s="1" t="n">
        <f aca="false">TRUE()</f>
        <v>1</v>
      </c>
      <c r="J154" s="1" t="n">
        <f aca="false">TRUE()</f>
        <v>1</v>
      </c>
      <c r="K154" s="0" t="n">
        <f aca="false">IFERROR(__xludf.dummyfunction("""COMPUTED_VALUE"""),92)</f>
        <v>92</v>
      </c>
    </row>
    <row r="155" customFormat="false" ht="15.75" hidden="false" customHeight="false" outlineLevel="0" collapsed="false">
      <c r="E155" s="12"/>
      <c r="F155" s="1" t="n">
        <f aca="false">FALSE()</f>
        <v>0</v>
      </c>
      <c r="G155" s="1" t="n">
        <f aca="false">FALSE()</f>
        <v>0</v>
      </c>
      <c r="H155" s="1" t="n">
        <f aca="false">FALSE()</f>
        <v>0</v>
      </c>
      <c r="I155" s="1" t="n">
        <f aca="false">FALSE()</f>
        <v>0</v>
      </c>
      <c r="J155" s="1" t="n">
        <f aca="false">FALSE()</f>
        <v>0</v>
      </c>
      <c r="K155" s="0" t="n">
        <f aca="false">IFERROR(__xludf.dummyfunction("""COMPUTED_VALUE"""),177)</f>
        <v>177</v>
      </c>
    </row>
    <row r="156" customFormat="false" ht="15.75" hidden="false" customHeight="false" outlineLevel="0" collapsed="false">
      <c r="E156" s="12"/>
      <c r="F156" s="1" t="n">
        <f aca="false">FALSE()</f>
        <v>0</v>
      </c>
      <c r="G156" s="1" t="n">
        <f aca="false">FALSE()</f>
        <v>0</v>
      </c>
      <c r="H156" s="1" t="n">
        <f aca="false">FALSE()</f>
        <v>0</v>
      </c>
      <c r="I156" s="1" t="n">
        <f aca="false">FALSE()</f>
        <v>0</v>
      </c>
      <c r="J156" s="1" t="n">
        <f aca="false">FALSE()</f>
        <v>0</v>
      </c>
      <c r="K156" s="0" t="n">
        <f aca="false">IFERROR(__xludf.dummyfunction("""COMPUTED_VALUE"""),178)</f>
        <v>178</v>
      </c>
    </row>
    <row r="157" customFormat="false" ht="15.75" hidden="false" customHeight="false" outlineLevel="0" collapsed="false">
      <c r="E157" s="12"/>
      <c r="F157" s="1" t="n">
        <f aca="false">FALSE()</f>
        <v>0</v>
      </c>
      <c r="G157" s="1" t="n">
        <f aca="false">FALSE()</f>
        <v>0</v>
      </c>
      <c r="H157" s="1" t="n">
        <f aca="false">FALSE()</f>
        <v>0</v>
      </c>
      <c r="I157" s="1" t="n">
        <f aca="false">FALSE()</f>
        <v>0</v>
      </c>
      <c r="J157" s="1" t="n">
        <f aca="false">FALSE()</f>
        <v>0</v>
      </c>
      <c r="K157" s="0" t="n">
        <f aca="false">IFERROR(__xludf.dummyfunction("""COMPUTED_VALUE"""),179)</f>
        <v>179</v>
      </c>
    </row>
    <row r="158" customFormat="false" ht="15.75" hidden="false" customHeight="false" outlineLevel="0" collapsed="false">
      <c r="E158" s="12"/>
      <c r="F158" s="1" t="n">
        <f aca="false">FALSE()</f>
        <v>0</v>
      </c>
      <c r="G158" s="1" t="n">
        <f aca="false">FALSE()</f>
        <v>0</v>
      </c>
      <c r="H158" s="1" t="n">
        <f aca="false">FALSE()</f>
        <v>0</v>
      </c>
      <c r="I158" s="1" t="n">
        <f aca="false">FALSE()</f>
        <v>0</v>
      </c>
      <c r="J158" s="1" t="n">
        <f aca="false">FALSE()</f>
        <v>0</v>
      </c>
      <c r="K158" s="0" t="n">
        <f aca="false">IFERROR(__xludf.dummyfunction("""COMPUTED_VALUE"""),180)</f>
        <v>180</v>
      </c>
    </row>
    <row r="159" customFormat="false" ht="15.75" hidden="false" customHeight="false" outlineLevel="0" collapsed="false">
      <c r="E159" s="12"/>
      <c r="F159" s="1" t="n">
        <f aca="false">FALSE()</f>
        <v>0</v>
      </c>
      <c r="G159" s="1" t="n">
        <f aca="false">FALSE()</f>
        <v>0</v>
      </c>
      <c r="H159" s="1" t="n">
        <f aca="false">FALSE()</f>
        <v>0</v>
      </c>
      <c r="I159" s="1" t="n">
        <f aca="false">FALSE()</f>
        <v>0</v>
      </c>
      <c r="J159" s="1" t="n">
        <f aca="false">FALSE()</f>
        <v>0</v>
      </c>
      <c r="K159" s="0" t="n">
        <f aca="false">IFERROR(__xludf.dummyfunction("""COMPUTED_VALUE"""),181)</f>
        <v>181</v>
      </c>
    </row>
    <row r="160" customFormat="false" ht="15.75" hidden="false" customHeight="false" outlineLevel="0" collapsed="false">
      <c r="E160" s="12"/>
      <c r="F160" s="1" t="n">
        <f aca="false">FALSE()</f>
        <v>0</v>
      </c>
      <c r="G160" s="1" t="n">
        <f aca="false">FALSE()</f>
        <v>0</v>
      </c>
      <c r="H160" s="1" t="n">
        <f aca="false">FALSE()</f>
        <v>0</v>
      </c>
      <c r="I160" s="1" t="n">
        <f aca="false">FALSE()</f>
        <v>0</v>
      </c>
      <c r="J160" s="1" t="n">
        <f aca="false">FALSE()</f>
        <v>0</v>
      </c>
      <c r="K160" s="0" t="n">
        <f aca="false">IFERROR(__xludf.dummyfunction("""COMPUTED_VALUE"""),182)</f>
        <v>182</v>
      </c>
    </row>
    <row r="161" customFormat="false" ht="15.75" hidden="false" customHeight="false" outlineLevel="0" collapsed="false">
      <c r="E161" s="12"/>
      <c r="F161" s="1" t="n">
        <f aca="false">FALSE()</f>
        <v>0</v>
      </c>
      <c r="G161" s="1" t="n">
        <f aca="false">FALSE()</f>
        <v>0</v>
      </c>
      <c r="H161" s="1" t="n">
        <f aca="false">FALSE()</f>
        <v>0</v>
      </c>
      <c r="I161" s="1" t="n">
        <f aca="false">FALSE()</f>
        <v>0</v>
      </c>
      <c r="J161" s="1" t="n">
        <f aca="false">FALSE()</f>
        <v>0</v>
      </c>
      <c r="K161" s="0" t="n">
        <f aca="false">IFERROR(__xludf.dummyfunction("""COMPUTED_VALUE"""),183)</f>
        <v>183</v>
      </c>
    </row>
    <row r="162" customFormat="false" ht="15.75" hidden="false" customHeight="false" outlineLevel="0" collapsed="false">
      <c r="E162" s="12"/>
      <c r="F162" s="1" t="n">
        <f aca="false">FALSE()</f>
        <v>0</v>
      </c>
      <c r="G162" s="1" t="n">
        <f aca="false">FALSE()</f>
        <v>0</v>
      </c>
      <c r="H162" s="1" t="n">
        <f aca="false">FALSE()</f>
        <v>0</v>
      </c>
      <c r="I162" s="1" t="n">
        <f aca="false">FALSE()</f>
        <v>0</v>
      </c>
      <c r="J162" s="1" t="n">
        <f aca="false">FALSE()</f>
        <v>0</v>
      </c>
      <c r="K162" s="0" t="n">
        <f aca="false">IFERROR(__xludf.dummyfunction("""COMPUTED_VALUE"""),184)</f>
        <v>184</v>
      </c>
    </row>
    <row r="163" customFormat="false" ht="15.75" hidden="false" customHeight="false" outlineLevel="0" collapsed="false">
      <c r="E163" s="12"/>
      <c r="F163" s="1" t="n">
        <f aca="false">FALSE()</f>
        <v>0</v>
      </c>
      <c r="G163" s="1" t="n">
        <f aca="false">FALSE()</f>
        <v>0</v>
      </c>
      <c r="H163" s="1" t="n">
        <f aca="false">FALSE()</f>
        <v>0</v>
      </c>
      <c r="I163" s="1" t="n">
        <f aca="false">FALSE()</f>
        <v>0</v>
      </c>
      <c r="J163" s="1" t="n">
        <f aca="false">FALSE()</f>
        <v>0</v>
      </c>
      <c r="K163" s="0" t="n">
        <f aca="false">IFERROR(__xludf.dummyfunction("""COMPUTED_VALUE"""),185)</f>
        <v>185</v>
      </c>
    </row>
    <row r="164" customFormat="false" ht="15.75" hidden="false" customHeight="false" outlineLevel="0" collapsed="false">
      <c r="E164" s="12"/>
      <c r="F164" s="1" t="n">
        <f aca="false">FALSE()</f>
        <v>0</v>
      </c>
      <c r="G164" s="1" t="n">
        <f aca="false">FALSE()</f>
        <v>0</v>
      </c>
      <c r="H164" s="1" t="n">
        <f aca="false">FALSE()</f>
        <v>0</v>
      </c>
      <c r="I164" s="1" t="n">
        <f aca="false">FALSE()</f>
        <v>0</v>
      </c>
      <c r="J164" s="1" t="n">
        <f aca="false">FALSE()</f>
        <v>0</v>
      </c>
      <c r="K164" s="0" t="n">
        <f aca="false">IFERROR(__xludf.dummyfunction("""COMPUTED_VALUE"""),186)</f>
        <v>186</v>
      </c>
    </row>
    <row r="165" customFormat="false" ht="15.75" hidden="false" customHeight="false" outlineLevel="0" collapsed="false">
      <c r="E165" s="12"/>
      <c r="F165" s="1" t="n">
        <f aca="false">FALSE()</f>
        <v>0</v>
      </c>
      <c r="G165" s="1" t="n">
        <f aca="false">FALSE()</f>
        <v>0</v>
      </c>
      <c r="H165" s="1" t="n">
        <f aca="false">FALSE()</f>
        <v>0</v>
      </c>
      <c r="I165" s="1" t="n">
        <f aca="false">FALSE()</f>
        <v>0</v>
      </c>
      <c r="J165" s="1" t="n">
        <f aca="false">FALSE()</f>
        <v>0</v>
      </c>
      <c r="K165" s="0" t="n">
        <f aca="false">IFERROR(__xludf.dummyfunction("""COMPUTED_VALUE"""),187)</f>
        <v>187</v>
      </c>
    </row>
    <row r="166" customFormat="false" ht="15.75" hidden="false" customHeight="false" outlineLevel="0" collapsed="false">
      <c r="E166" s="12"/>
      <c r="F166" s="1" t="n">
        <f aca="false">FALSE()</f>
        <v>0</v>
      </c>
      <c r="G166" s="1" t="n">
        <f aca="false">FALSE()</f>
        <v>0</v>
      </c>
      <c r="H166" s="1" t="n">
        <f aca="false">FALSE()</f>
        <v>0</v>
      </c>
      <c r="I166" s="1" t="n">
        <f aca="false">FALSE()</f>
        <v>0</v>
      </c>
      <c r="J166" s="1" t="n">
        <f aca="false">FALSE()</f>
        <v>0</v>
      </c>
      <c r="K166" s="0" t="n">
        <f aca="false">IFERROR(__xludf.dummyfunction("""COMPUTED_VALUE"""),188)</f>
        <v>188</v>
      </c>
    </row>
    <row r="167" customFormat="false" ht="15.75" hidden="false" customHeight="false" outlineLevel="0" collapsed="false">
      <c r="E167" s="12"/>
      <c r="F167" s="1" t="n">
        <f aca="false">FALSE()</f>
        <v>0</v>
      </c>
      <c r="G167" s="1" t="n">
        <f aca="false">FALSE()</f>
        <v>0</v>
      </c>
      <c r="H167" s="1" t="n">
        <f aca="false">FALSE()</f>
        <v>0</v>
      </c>
      <c r="I167" s="1" t="n">
        <f aca="false">FALSE()</f>
        <v>0</v>
      </c>
      <c r="J167" s="1" t="n">
        <f aca="false">FALSE()</f>
        <v>0</v>
      </c>
      <c r="K167" s="0" t="n">
        <f aca="false">IFERROR(__xludf.dummyfunction("""COMPUTED_VALUE"""),189)</f>
        <v>189</v>
      </c>
    </row>
    <row r="168" customFormat="false" ht="15.75" hidden="false" customHeight="false" outlineLevel="0" collapsed="false">
      <c r="E168" s="12"/>
      <c r="F168" s="1" t="n">
        <f aca="false">FALSE()</f>
        <v>0</v>
      </c>
      <c r="G168" s="1" t="n">
        <f aca="false">FALSE()</f>
        <v>0</v>
      </c>
      <c r="H168" s="1" t="n">
        <f aca="false">FALSE()</f>
        <v>0</v>
      </c>
      <c r="I168" s="1" t="n">
        <f aca="false">FALSE()</f>
        <v>0</v>
      </c>
      <c r="J168" s="1" t="n">
        <f aca="false">FALSE()</f>
        <v>0</v>
      </c>
      <c r="K168" s="0" t="n">
        <f aca="false">IFERROR(__xludf.dummyfunction("""COMPUTED_VALUE"""),190)</f>
        <v>190</v>
      </c>
    </row>
    <row r="169" customFormat="false" ht="15.75" hidden="false" customHeight="false" outlineLevel="0" collapsed="false">
      <c r="E169" s="12"/>
      <c r="F169" s="1" t="n">
        <f aca="false">FALSE()</f>
        <v>0</v>
      </c>
      <c r="G169" s="1" t="n">
        <f aca="false">FALSE()</f>
        <v>0</v>
      </c>
      <c r="H169" s="1" t="n">
        <f aca="false">FALSE()</f>
        <v>0</v>
      </c>
      <c r="I169" s="1" t="n">
        <f aca="false">FALSE()</f>
        <v>0</v>
      </c>
      <c r="J169" s="1" t="n">
        <f aca="false">FALSE()</f>
        <v>0</v>
      </c>
      <c r="K169" s="0" t="n">
        <f aca="false">IFERROR(__xludf.dummyfunction("""COMPUTED_VALUE"""),191)</f>
        <v>191</v>
      </c>
    </row>
    <row r="170" customFormat="false" ht="15.75" hidden="false" customHeight="false" outlineLevel="0" collapsed="false">
      <c r="E170" s="12"/>
      <c r="F170" s="1" t="n">
        <f aca="false">FALSE()</f>
        <v>0</v>
      </c>
      <c r="G170" s="1" t="n">
        <f aca="false">FALSE()</f>
        <v>0</v>
      </c>
      <c r="H170" s="1" t="n">
        <f aca="false">FALSE()</f>
        <v>0</v>
      </c>
      <c r="I170" s="1" t="n">
        <f aca="false">FALSE()</f>
        <v>0</v>
      </c>
      <c r="J170" s="1" t="n">
        <f aca="false">FALSE()</f>
        <v>0</v>
      </c>
      <c r="K170" s="0" t="n">
        <f aca="false">IFERROR(__xludf.dummyfunction("""COMPUTED_VALUE"""),192)</f>
        <v>192</v>
      </c>
    </row>
    <row r="171" customFormat="false" ht="15.75" hidden="false" customHeight="false" outlineLevel="0" collapsed="false">
      <c r="E171" s="12"/>
      <c r="F171" s="1" t="n">
        <f aca="false">FALSE()</f>
        <v>0</v>
      </c>
      <c r="G171" s="1" t="n">
        <f aca="false">FALSE()</f>
        <v>0</v>
      </c>
      <c r="H171" s="1" t="n">
        <f aca="false">FALSE()</f>
        <v>0</v>
      </c>
      <c r="I171" s="1" t="n">
        <f aca="false">FALSE()</f>
        <v>0</v>
      </c>
      <c r="J171" s="1" t="n">
        <f aca="false">FALSE()</f>
        <v>0</v>
      </c>
      <c r="K171" s="0" t="n">
        <f aca="false">IFERROR(__xludf.dummyfunction("""COMPUTED_VALUE"""),193)</f>
        <v>193</v>
      </c>
    </row>
    <row r="172" customFormat="false" ht="15.75" hidden="false" customHeight="false" outlineLevel="0" collapsed="false">
      <c r="E172" s="12"/>
      <c r="F172" s="1" t="n">
        <f aca="false">FALSE()</f>
        <v>0</v>
      </c>
      <c r="G172" s="1" t="n">
        <f aca="false">FALSE()</f>
        <v>0</v>
      </c>
      <c r="H172" s="1" t="n">
        <f aca="false">FALSE()</f>
        <v>0</v>
      </c>
      <c r="I172" s="1" t="n">
        <f aca="false">FALSE()</f>
        <v>0</v>
      </c>
      <c r="J172" s="1" t="n">
        <f aca="false">FALSE()</f>
        <v>0</v>
      </c>
      <c r="K172" s="0" t="n">
        <f aca="false">IFERROR(__xludf.dummyfunction("""COMPUTED_VALUE"""),194)</f>
        <v>194</v>
      </c>
    </row>
    <row r="173" customFormat="false" ht="15.75" hidden="false" customHeight="false" outlineLevel="0" collapsed="false">
      <c r="E173" s="12"/>
      <c r="F173" s="1" t="n">
        <f aca="false">FALSE()</f>
        <v>0</v>
      </c>
      <c r="G173" s="1" t="n">
        <f aca="false">FALSE()</f>
        <v>0</v>
      </c>
      <c r="H173" s="1" t="n">
        <f aca="false">FALSE()</f>
        <v>0</v>
      </c>
      <c r="I173" s="1" t="n">
        <f aca="false">FALSE()</f>
        <v>0</v>
      </c>
      <c r="J173" s="1" t="n">
        <f aca="false">FALSE()</f>
        <v>0</v>
      </c>
      <c r="K173" s="0" t="n">
        <f aca="false">IFERROR(__xludf.dummyfunction("""COMPUTED_VALUE"""),195)</f>
        <v>195</v>
      </c>
    </row>
    <row r="174" customFormat="false" ht="15.75" hidden="false" customHeight="false" outlineLevel="0" collapsed="false">
      <c r="E174" s="12"/>
      <c r="F174" s="1" t="n">
        <f aca="false">FALSE()</f>
        <v>0</v>
      </c>
      <c r="G174" s="1" t="n">
        <f aca="false">FALSE()</f>
        <v>0</v>
      </c>
      <c r="H174" s="1" t="n">
        <f aca="false">FALSE()</f>
        <v>0</v>
      </c>
      <c r="I174" s="1" t="n">
        <f aca="false">FALSE()</f>
        <v>0</v>
      </c>
      <c r="J174" s="1" t="n">
        <f aca="false">FALSE()</f>
        <v>0</v>
      </c>
      <c r="K174" s="0" t="n">
        <f aca="false">IFERROR(__xludf.dummyfunction("""COMPUTED_VALUE"""),196)</f>
        <v>196</v>
      </c>
    </row>
    <row r="175" customFormat="false" ht="15.75" hidden="false" customHeight="false" outlineLevel="0" collapsed="false">
      <c r="E175" s="12"/>
      <c r="F175" s="1" t="n">
        <f aca="false">FALSE()</f>
        <v>0</v>
      </c>
      <c r="G175" s="1" t="n">
        <f aca="false">FALSE()</f>
        <v>0</v>
      </c>
      <c r="H175" s="1" t="n">
        <f aca="false">FALSE()</f>
        <v>0</v>
      </c>
      <c r="I175" s="1" t="n">
        <f aca="false">FALSE()</f>
        <v>0</v>
      </c>
      <c r="J175" s="1" t="n">
        <f aca="false">FALSE()</f>
        <v>0</v>
      </c>
      <c r="K175" s="0" t="n">
        <f aca="false">IFERROR(__xludf.dummyfunction("""COMPUTED_VALUE"""),197)</f>
        <v>197</v>
      </c>
    </row>
    <row r="176" customFormat="false" ht="15.75" hidden="false" customHeight="false" outlineLevel="0" collapsed="false">
      <c r="E176" s="12"/>
      <c r="K176" s="0" t="n">
        <f aca="false">IFERROR(__xludf.dummyfunction("""COMPUTED_VALUE"""),198)</f>
        <v>198</v>
      </c>
    </row>
    <row r="177" customFormat="false" ht="15.75" hidden="false" customHeight="false" outlineLevel="0" collapsed="false">
      <c r="E177" s="12"/>
      <c r="K177" s="0" t="n">
        <f aca="false">IFERROR(__xludf.dummyfunction("""COMPUTED_VALUE"""),199)</f>
        <v>199</v>
      </c>
    </row>
    <row r="178" customFormat="false" ht="15.75" hidden="false" customHeight="false" outlineLevel="0" collapsed="false">
      <c r="E178" s="12"/>
      <c r="K178" s="0" t="n">
        <f aca="false">IFERROR(__xludf.dummyfunction("""COMPUTED_VALUE"""),200)</f>
        <v>200</v>
      </c>
    </row>
    <row r="179" customFormat="false" ht="15.75" hidden="false" customHeight="true" outlineLevel="0" collapsed="false">
      <c r="E179" s="12"/>
    </row>
    <row r="180" customFormat="false" ht="15.75" hidden="false" customHeight="true" outlineLevel="0" collapsed="false">
      <c r="E180" s="12"/>
    </row>
    <row r="181" customFormat="false" ht="15.75" hidden="false" customHeight="true" outlineLevel="0" collapsed="false">
      <c r="E181" s="12"/>
    </row>
    <row r="182" customFormat="false" ht="15.75" hidden="false" customHeight="true" outlineLevel="0" collapsed="false">
      <c r="E182" s="12"/>
    </row>
    <row r="183" customFormat="false" ht="15.75" hidden="false" customHeight="true" outlineLevel="0" collapsed="false">
      <c r="E183" s="12"/>
    </row>
    <row r="184" customFormat="false" ht="15.75" hidden="false" customHeight="true" outlineLevel="0" collapsed="false">
      <c r="E184" s="12"/>
    </row>
    <row r="185" customFormat="false" ht="15.75" hidden="false" customHeight="true" outlineLevel="0" collapsed="false">
      <c r="E185" s="12"/>
    </row>
    <row r="186" customFormat="false" ht="15.75" hidden="false" customHeight="true" outlineLevel="0" collapsed="false">
      <c r="E186" s="12"/>
    </row>
    <row r="187" customFormat="false" ht="15.75" hidden="false" customHeight="true" outlineLevel="0" collapsed="false">
      <c r="E187" s="12"/>
    </row>
    <row r="188" customFormat="false" ht="15.75" hidden="false" customHeight="true" outlineLevel="0" collapsed="false">
      <c r="E188" s="12"/>
    </row>
    <row r="189" customFormat="false" ht="15.75" hidden="false" customHeight="true" outlineLevel="0" collapsed="false">
      <c r="E189" s="12"/>
    </row>
    <row r="190" customFormat="false" ht="15.75" hidden="false" customHeight="true" outlineLevel="0" collapsed="false">
      <c r="E190" s="12"/>
    </row>
    <row r="191" customFormat="false" ht="15.75" hidden="false" customHeight="true" outlineLevel="0" collapsed="false">
      <c r="E191" s="12"/>
    </row>
    <row r="192" customFormat="false" ht="15.75" hidden="false" customHeight="true" outlineLevel="0" collapsed="false">
      <c r="E192" s="12"/>
    </row>
    <row r="193" customFormat="false" ht="15.75" hidden="false" customHeight="true" outlineLevel="0" collapsed="false">
      <c r="E193" s="12"/>
    </row>
    <row r="194" customFormat="false" ht="15.75" hidden="false" customHeight="true" outlineLevel="0" collapsed="false">
      <c r="E194" s="12"/>
    </row>
    <row r="195" customFormat="false" ht="15.75" hidden="false" customHeight="true" outlineLevel="0" collapsed="false">
      <c r="E195" s="12"/>
    </row>
    <row r="196" customFormat="false" ht="15.75" hidden="false" customHeight="true" outlineLevel="0" collapsed="false">
      <c r="E196" s="12"/>
    </row>
    <row r="197" customFormat="false" ht="15.75" hidden="false" customHeight="true" outlineLevel="0" collapsed="false">
      <c r="E197" s="12"/>
    </row>
    <row r="198" customFormat="false" ht="15.75" hidden="false" customHeight="true" outlineLevel="0" collapsed="false">
      <c r="E198" s="12"/>
    </row>
    <row r="199" customFormat="false" ht="15.75" hidden="false" customHeight="true" outlineLevel="0" collapsed="false">
      <c r="E199" s="12"/>
    </row>
    <row r="200" customFormat="false" ht="15.75" hidden="false" customHeight="true" outlineLevel="0" collapsed="false">
      <c r="E200" s="12"/>
    </row>
    <row r="201" customFormat="false" ht="15.75" hidden="false" customHeight="false" outlineLevel="0" collapsed="false">
      <c r="C201" s="1" t="s">
        <v>789</v>
      </c>
      <c r="F201" s="0" t="n">
        <f aca="false">COUNTIF(F2:F175,TRUE())</f>
        <v>119</v>
      </c>
      <c r="G201" s="0" t="n">
        <f aca="false">COUNTIF(G2:G175,TRUE())</f>
        <v>111</v>
      </c>
      <c r="H201" s="0" t="n">
        <f aca="false">COUNTIF(H2:H175,TRUE())</f>
        <v>103</v>
      </c>
      <c r="I201" s="0" t="n">
        <f aca="false">COUNTIF(I2:I175,TRUE())</f>
        <v>106</v>
      </c>
      <c r="J201" s="0" t="n">
        <f aca="false">COUNTIF(J2:J175,TRUE())</f>
        <v>90</v>
      </c>
    </row>
    <row r="202" customFormat="false" ht="15.75" hidden="false" customHeight="false" outlineLevel="0" collapsed="false">
      <c r="C202" s="1" t="s">
        <v>790</v>
      </c>
      <c r="F202" s="0" t="n">
        <f aca="false">COUNTA($A$2:$A$200)-F201</f>
        <v>34</v>
      </c>
      <c r="G202" s="0" t="n">
        <f aca="false">COUNTA($A$2:$A$200)-G201</f>
        <v>42</v>
      </c>
      <c r="H202" s="0" t="n">
        <f aca="false">COUNTA($A$2:$A$200)-H201</f>
        <v>50</v>
      </c>
      <c r="I202" s="0" t="n">
        <f aca="false">COUNTA($A$2:$A$200)-I201</f>
        <v>47</v>
      </c>
      <c r="J202" s="0" t="n">
        <f aca="false">COUNTA($A$2:$A$200)-J201</f>
        <v>63</v>
      </c>
    </row>
    <row r="204" customFormat="false" ht="15.75" hidden="false" customHeight="false" outlineLevel="0" collapsed="false">
      <c r="C204" s="1" t="s">
        <v>791</v>
      </c>
      <c r="F204" s="0" t="n">
        <f aca="false">IFERROR(__xludf.dummyfunction("COUNTIF(filter(F2:F175,$D$2:$D$175=117),TRUE)"),54)</f>
        <v>54</v>
      </c>
      <c r="G204" s="0" t="n">
        <f aca="false">IFERROR(__xludf.dummyfunction("COUNTIF(filter(G2:G175,$D$2:$D$175=117),TRUE)"),51)</f>
        <v>51</v>
      </c>
      <c r="H204" s="0" t="n">
        <f aca="false">IFERROR(__xludf.dummyfunction("COUNTIF(filter(H2:H175,$D$2:$D$175=117),TRUE)"),51)</f>
        <v>51</v>
      </c>
      <c r="I204" s="0" t="n">
        <f aca="false">IFERROR(__xludf.dummyfunction("COUNTIF(filter(I2:I175,$D$2:$D$175=117),TRUE)"),45)</f>
        <v>45</v>
      </c>
      <c r="J204" s="0" t="n">
        <f aca="false">IFERROR(__xludf.dummyfunction("COUNTIF(filter(J2:J175,$D$2:$D$175=117),TRUE)"),41)</f>
        <v>41</v>
      </c>
    </row>
    <row r="205" customFormat="false" ht="15.75" hidden="false" customHeight="false" outlineLevel="0" collapsed="false">
      <c r="C205" s="1" t="s">
        <v>792</v>
      </c>
      <c r="F205" s="0" t="n">
        <f aca="false">IFERROR(__xludf.dummyfunction("COUNTA(filter(A2:A175,$D$2:$D$175=117))-F204"),21)</f>
        <v>21</v>
      </c>
      <c r="G205" s="0" t="n">
        <f aca="false">IFERROR(__xludf.dummyfunction("COUNTA(filter(B2:B175,$D$2:$D$175=117))-G204"),24)</f>
        <v>24</v>
      </c>
      <c r="H205" s="0" t="n">
        <f aca="false">IFERROR(__xludf.dummyfunction("COUNTA(filter(C2:C175,$D$2:$D$175=117))-H204"),24)</f>
        <v>24</v>
      </c>
      <c r="I205" s="0" t="n">
        <f aca="false">IFERROR(__xludf.dummyfunction("COUNTA(filter(D2:D175,$D$2:$D$175=117))-I204"),30)</f>
        <v>30</v>
      </c>
      <c r="J205" s="0" t="n">
        <f aca="false">IFERROR(__xludf.dummyfunction("COUNTA(filter(E2:E175,$D$2:$D$175=117))-J204"),34)</f>
        <v>34</v>
      </c>
    </row>
  </sheetData>
  <conditionalFormatting sqref="E2:E200">
    <cfRule type="cellIs" priority="2" operator="equal" aboveAverage="0" equalAverage="0" bottom="0" percent="0" rank="0" text="" dxfId="4">
      <formula>"Зачем нужна филология?"</formula>
    </cfRule>
  </conditionalFormatting>
  <conditionalFormatting sqref="E2:E200">
    <cfRule type="cellIs" priority="3" operator="equal" aboveAverage="0" equalAverage="0" bottom="0" percent="0" rank="0" text="" dxfId="5">
      <formula>"Физика и жизнь"</formula>
    </cfRule>
  </conditionalFormatting>
  <conditionalFormatting sqref="E2:E200">
    <cfRule type="cellIs" priority="4" operator="equal" aboveAverage="0" equalAverage="0" bottom="0" percent="0" rank="0" text="" dxfId="1">
      <formula>"Мобильный геймдев (первая часть)"</formula>
    </cfRule>
  </conditionalFormatting>
  <conditionalFormatting sqref="E2:E200">
    <cfRule type="cellIs" priority="5" operator="equal" aboveAverage="0" equalAverage="0" bottom="0" percent="0" rank="0" text="" dxfId="6">
      <formula>"Не совсем наивная алгебра"</formula>
    </cfRule>
  </conditionalFormatting>
  <conditionalFormatting sqref="E2:E200">
    <cfRule type="cellIs" priority="6" operator="equal" aboveAverage="0" equalAverage="0" bottom="0" percent="0" rank="0" text="" dxfId="7">
      <formula>"Немного комбинаторики и теория вероятности"</formula>
    </cfRule>
  </conditionalFormatting>
  <conditionalFormatting sqref="E2:E200">
    <cfRule type="cellIs" priority="7" operator="equal" aboveAverage="0" equalAverage="0" bottom="0" percent="0" rank="0" text="" dxfId="8">
      <formula>"Практическая психология"</formula>
    </cfRule>
  </conditionalFormatting>
  <conditionalFormatting sqref="E2:E200">
    <cfRule type="cellIs" priority="8" operator="equal" aboveAverage="0" equalAverage="0" bottom="0" percent="0" rank="0" text="" dxfId="9">
      <formula>"Прикладное право"</formula>
    </cfRule>
  </conditionalFormatting>
  <conditionalFormatting sqref="E2:E200">
    <cfRule type="cellIs" priority="9" operator="equal" aboveAverage="0" equalAverage="0" bottom="0" percent="0" rank="0" text="" dxfId="10">
      <formula>"Теория потребителя"</formula>
    </cfRule>
  </conditionalFormatting>
  <conditionalFormatting sqref="M19">
    <cfRule type="cellIs" priority="10" operator="equal" aboveAverage="0" equalAverage="0" bottom="0" percent="0" rank="0" text="" dxfId="1">
      <formula>"Загружено"</formula>
    </cfRule>
  </conditionalFormatting>
  <conditionalFormatting sqref="M19">
    <cfRule type="cellIs" priority="11" operator="equal" aboveAverage="0" equalAverage="0" bottom="0" percent="0" rank="0" text="" dxfId="11">
      <formula>"Не загружено"</formula>
    </cfRule>
  </conditionalFormatting>
  <conditionalFormatting sqref="M19">
    <cfRule type="cellIs" priority="12" operator="equal" aboveAverage="0" equalAverage="0" bottom="0" percent="0" rank="0" text="" dxfId="0">
      <formula>"Пиздец"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5.43"/>
    <col collapsed="false" customWidth="true" hidden="false" outlineLevel="0" max="4" min="4" style="0" width="5.86"/>
  </cols>
  <sheetData>
    <row r="1" customFormat="false" ht="15.75" hidden="false" customHeight="false" outlineLevel="0" collapsed="false">
      <c r="F1" s="33" t="n">
        <v>43654</v>
      </c>
      <c r="G1" s="33" t="n">
        <v>43655</v>
      </c>
      <c r="H1" s="33" t="n">
        <v>43656</v>
      </c>
      <c r="I1" s="33" t="n">
        <v>43657</v>
      </c>
      <c r="J1" s="33" t="n">
        <v>43658</v>
      </c>
    </row>
    <row r="2" customFormat="false" ht="15.75" hidden="false" customHeight="false" outlineLevel="0" collapsed="false">
      <c r="A2" s="0" t="str">
        <f aca="false">IFERROR(__xludf.dummyfunction("filter(SORT('Переформатированный ответ'!B2:E200,'Переформатированный ответ'!$J$2:$J$200,TRUE,'Переформатированный ответ'!$B$2:$B$200,TRUE),SORT('Переформатированный ответ'!O2:O200,'Переформатированный ответ'!$J$2:$J$200,TRUE,'Переформатированный ответ'!$B"&amp;"$2:$B$200,TRUE) &gt; -1,SORT('Переформатированный ответ'!J2:J200,'Переформатированный ответ'!$J$2:$J$200,TRUE,'Переформатированный ответ'!$B$2:$B$200,TRUE) &lt;&gt; ""Меня не будет в это время"")"),"Белим ")</f>
        <v>Белим</v>
      </c>
      <c r="B2" s="0" t="str">
        <f aca="false">IFERROR(__xludf.dummyfunction("""COMPUTED_VALUE"""),"Екатерина ")</f>
        <v>Екатерина</v>
      </c>
      <c r="C2" s="0" t="n">
        <f aca="false">IFERROR(__xludf.dummyfunction("""COMPUTED_VALUE"""),8)</f>
        <v>8</v>
      </c>
      <c r="D2" s="0" t="n">
        <f aca="false">IFERROR(__xludf.dummyfunction("""COMPUTED_VALUE"""),117)</f>
        <v>117</v>
      </c>
      <c r="E2" s="12" t="str">
        <f aca="false">IFERROR(__xludf.dummyfunction("filter(SORT('Переформатированный ответ'!J2:J200,'Переформатированный ответ'!$J$2:$J$200,TRUE,'Переформатированный ответ'!$B$2:$B$200,TRUE),SORT('Переформатированный ответ'!O2:O200,'Переформатированный ответ'!$J$2:$J$200,TRUE,'Переформатированный ответ'!$B"&amp;"$2:$B$200,TRUE) &gt; -1,SORT('Переформатированный ответ'!J2:J200,'Переформатированный ответ'!$J$2:$J$200,TRUE,'Переформатированный ответ'!$B$2:$B$200,TRUE) &lt;&gt; ""Меня не будет в это время"")"),"Английский")</f>
        <v>Английский</v>
      </c>
      <c r="F2" s="1" t="n">
        <f aca="false">TRUE()</f>
        <v>1</v>
      </c>
      <c r="G2" s="1" t="n">
        <f aca="false">TRUE()</f>
        <v>1</v>
      </c>
      <c r="H2" s="1" t="n">
        <f aca="false">TRUE()</f>
        <v>1</v>
      </c>
      <c r="I2" s="1" t="n">
        <f aca="false">FALSE()</f>
        <v>0</v>
      </c>
      <c r="J2" s="1" t="n">
        <f aca="false">TRUE()</f>
        <v>1</v>
      </c>
      <c r="K2" s="0" t="n">
        <f aca="false">IFERROR(__xludf.dummyfunction("filter(SORT(ARRAYFORMULA(Row('Переформатированный ответ'!J2:J200)),'Переформатированный ответ'!$J$2:$J$200,TRUE,'Переформатированный ответ'!$B$2:$B$200,TRUE),SORT('Переформатированный ответ'!O2:O200,'Переформатированный ответ'!$J$2:$J$200,TRUE,'Переформат"&amp;"ированный ответ'!$B$2:$B$200,TRUE) &gt; -1,SORT('Переформатированный ответ'!J2:J200,'Переформатированный ответ'!$J$2:$J$200,TRUE,'Переформатированный ответ'!$B$2:$B$200,TRUE) &lt;&gt; ""Меня не будет в это время"")"),73)</f>
        <v>73</v>
      </c>
      <c r="O2" s="0" t="str">
        <f aca="false">IFERROR(__xludf.dummyfunction("UNIQUE(E2:E200)"),"Английский")</f>
        <v>Английский</v>
      </c>
    </row>
    <row r="3" customFormat="false" ht="15.75" hidden="false" customHeight="false" outlineLevel="0" collapsed="false">
      <c r="A3" s="0" t="str">
        <f aca="false">IFERROR(__xludf.dummyfunction("""COMPUTED_VALUE"""),"Божко")</f>
        <v>Божко</v>
      </c>
      <c r="B3" s="0" t="str">
        <f aca="false">IFERROR(__xludf.dummyfunction("""COMPUTED_VALUE"""),"Роман")</f>
        <v>Роман</v>
      </c>
      <c r="C3" s="0" t="n">
        <f aca="false">IFERROR(__xludf.dummyfunction("""COMPUTED_VALUE"""),9)</f>
        <v>9</v>
      </c>
      <c r="D3" s="0" t="n">
        <f aca="false">IFERROR(__xludf.dummyfunction("""COMPUTED_VALUE"""),149)</f>
        <v>149</v>
      </c>
      <c r="E3" s="12" t="str">
        <f aca="false">IFERROR(__xludf.dummyfunction("""COMPUTED_VALUE"""),"Английский")</f>
        <v>Английский</v>
      </c>
      <c r="F3" s="1" t="n">
        <f aca="false">TRUE()</f>
        <v>1</v>
      </c>
      <c r="G3" s="1" t="n">
        <f aca="false">TRUE()</f>
        <v>1</v>
      </c>
      <c r="H3" s="1" t="n">
        <f aca="false">FALSE()</f>
        <v>0</v>
      </c>
      <c r="I3" s="1" t="n">
        <f aca="false">TRUE()</f>
        <v>1</v>
      </c>
      <c r="J3" s="1" t="n">
        <f aca="false">TRUE()</f>
        <v>1</v>
      </c>
      <c r="K3" s="0" t="n">
        <f aca="false">IFERROR(__xludf.dummyfunction("""COMPUTED_VALUE"""),131)</f>
        <v>131</v>
      </c>
      <c r="O3" s="0" t="str">
        <f aca="false">IFERROR(__xludf.dummyfunction("""COMPUTED_VALUE"""),"Знакомство с теорией графов")</f>
        <v>Знакомство с теорией графов</v>
      </c>
    </row>
    <row r="4" customFormat="false" ht="15.75" hidden="false" customHeight="false" outlineLevel="0" collapsed="false">
      <c r="A4" s="0" t="str">
        <f aca="false">IFERROR(__xludf.dummyfunction("""COMPUTED_VALUE"""),"Божко")</f>
        <v>Божко</v>
      </c>
      <c r="B4" s="0" t="str">
        <f aca="false">IFERROR(__xludf.dummyfunction("""COMPUTED_VALUE"""),"Ксения")</f>
        <v>Ксения</v>
      </c>
      <c r="C4" s="0" t="n">
        <f aca="false">IFERROR(__xludf.dummyfunction("""COMPUTED_VALUE"""),8)</f>
        <v>8</v>
      </c>
      <c r="D4" s="0" t="n">
        <f aca="false">IFERROR(__xludf.dummyfunction("""COMPUTED_VALUE"""),7)</f>
        <v>7</v>
      </c>
      <c r="E4" s="12" t="str">
        <f aca="false">IFERROR(__xludf.dummyfunction("""COMPUTED_VALUE"""),"Английский")</f>
        <v>Английский</v>
      </c>
      <c r="F4" s="1" t="n">
        <f aca="false">TRUE()</f>
        <v>1</v>
      </c>
      <c r="G4" s="1" t="n">
        <f aca="false">FALSE()</f>
        <v>0</v>
      </c>
      <c r="H4" s="1" t="n">
        <f aca="false">FALSE()</f>
        <v>0</v>
      </c>
      <c r="I4" s="1" t="n">
        <f aca="false">FALSE()</f>
        <v>0</v>
      </c>
      <c r="J4" s="1" t="n">
        <f aca="false">FALSE()</f>
        <v>0</v>
      </c>
      <c r="K4" s="0" t="n">
        <f aca="false">IFERROR(__xludf.dummyfunction("""COMPUTED_VALUE"""),149)</f>
        <v>149</v>
      </c>
      <c r="M4" s="34" t="s">
        <v>787</v>
      </c>
      <c r="O4" s="0" t="str">
        <f aca="false">IFERROR(__xludf.dummyfunction("""COMPUTED_VALUE"""),"Инженерная и компьютерная графика, начертательная геометрия")</f>
        <v>Инженерная и компьютерная графика, начертательная геометрия</v>
      </c>
    </row>
    <row r="5" customFormat="false" ht="15.75" hidden="false" customHeight="false" outlineLevel="0" collapsed="false">
      <c r="A5" s="0" t="str">
        <f aca="false">IFERROR(__xludf.dummyfunction("""COMPUTED_VALUE"""),"Борисец ")</f>
        <v>Борисец</v>
      </c>
      <c r="B5" s="0" t="str">
        <f aca="false">IFERROR(__xludf.dummyfunction("""COMPUTED_VALUE"""),"Анастасия ")</f>
        <v>Анастасия</v>
      </c>
      <c r="C5" s="0" t="n">
        <f aca="false">IFERROR(__xludf.dummyfunction("""COMPUTED_VALUE"""),9)</f>
        <v>9</v>
      </c>
      <c r="D5" s="0" t="n">
        <f aca="false">IFERROR(__xludf.dummyfunction("""COMPUTED_VALUE"""),117)</f>
        <v>117</v>
      </c>
      <c r="E5" s="12" t="str">
        <f aca="false">IFERROR(__xludf.dummyfunction("""COMPUTED_VALUE"""),"Английский")</f>
        <v>Английский</v>
      </c>
      <c r="F5" s="1" t="n">
        <f aca="false">TRUE()</f>
        <v>1</v>
      </c>
      <c r="G5" s="1" t="n">
        <f aca="false">FALSE()</f>
        <v>0</v>
      </c>
      <c r="H5" s="1" t="n">
        <f aca="false">FALSE()</f>
        <v>0</v>
      </c>
      <c r="I5" s="1" t="n">
        <f aca="false">FALSE()</f>
        <v>0</v>
      </c>
      <c r="J5" s="1" t="n">
        <f aca="false">FALSE()</f>
        <v>0</v>
      </c>
      <c r="K5" s="0" t="n">
        <f aca="false">IFERROR(__xludf.dummyfunction("""COMPUTED_VALUE"""),3)</f>
        <v>3</v>
      </c>
      <c r="O5" s="0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</row>
    <row r="6" customFormat="false" ht="15.75" hidden="false" customHeight="false" outlineLevel="0" collapsed="false">
      <c r="A6" s="0" t="str">
        <f aca="false">IFERROR(__xludf.dummyfunction("""COMPUTED_VALUE"""),"Братухина ")</f>
        <v>Братухина</v>
      </c>
      <c r="B6" s="0" t="str">
        <f aca="false">IFERROR(__xludf.dummyfunction("""COMPUTED_VALUE"""),"Альбина")</f>
        <v>Альбина</v>
      </c>
      <c r="C6" s="0" t="n">
        <f aca="false">IFERROR(__xludf.dummyfunction("""COMPUTED_VALUE"""),10)</f>
        <v>10</v>
      </c>
      <c r="D6" s="0" t="n">
        <f aca="false">IFERROR(__xludf.dummyfunction("""COMPUTED_VALUE"""),139)</f>
        <v>139</v>
      </c>
      <c r="E6" s="12" t="str">
        <f aca="false">IFERROR(__xludf.dummyfunction("""COMPUTED_VALUE"""),"Английский")</f>
        <v>Английский</v>
      </c>
      <c r="F6" s="1" t="n">
        <f aca="false">TRUE()</f>
        <v>1</v>
      </c>
      <c r="G6" s="1" t="n">
        <f aca="false">TRUE()</f>
        <v>1</v>
      </c>
      <c r="H6" s="1" t="n">
        <f aca="false">TRUE()</f>
        <v>1</v>
      </c>
      <c r="I6" s="1" t="n">
        <f aca="false">TRUE()</f>
        <v>1</v>
      </c>
      <c r="J6" s="1" t="n">
        <f aca="false">TRUE()</f>
        <v>1</v>
      </c>
      <c r="K6" s="0" t="n">
        <f aca="false">IFERROR(__xludf.dummyfunction("""COMPUTED_VALUE"""),42)</f>
        <v>42</v>
      </c>
      <c r="O6" s="0" t="str">
        <f aca="false">IFERROR(__xludf.dummyfunction("""COMPUTED_VALUE"""),"Попробуй не сойти с ума")</f>
        <v>Попробуй не сойти с ума</v>
      </c>
    </row>
    <row r="7" customFormat="false" ht="15.75" hidden="false" customHeight="false" outlineLevel="0" collapsed="false">
      <c r="A7" s="0" t="str">
        <f aca="false">IFERROR(__xludf.dummyfunction("""COMPUTED_VALUE"""),"Гебель")</f>
        <v>Гебель</v>
      </c>
      <c r="B7" s="0" t="str">
        <f aca="false">IFERROR(__xludf.dummyfunction("""COMPUTED_VALUE"""),"Полина")</f>
        <v>Полина</v>
      </c>
      <c r="C7" s="0" t="n">
        <f aca="false">IFERROR(__xludf.dummyfunction("""COMPUTED_VALUE"""),8)</f>
        <v>8</v>
      </c>
      <c r="D7" s="0" t="n">
        <f aca="false">IFERROR(__xludf.dummyfunction("""COMPUTED_VALUE"""),117)</f>
        <v>117</v>
      </c>
      <c r="E7" s="12" t="str">
        <f aca="false">IFERROR(__xludf.dummyfunction("""COMPUTED_VALUE"""),"Английский")</f>
        <v>Английский</v>
      </c>
      <c r="F7" s="1" t="n">
        <f aca="false">TRUE()</f>
        <v>1</v>
      </c>
      <c r="G7" s="1" t="n">
        <f aca="false">TRUE()</f>
        <v>1</v>
      </c>
      <c r="H7" s="1" t="n">
        <f aca="false">TRUE()</f>
        <v>1</v>
      </c>
      <c r="I7" s="1" t="n">
        <f aca="false">TRUE()</f>
        <v>1</v>
      </c>
      <c r="J7" s="1" t="n">
        <f aca="false">TRUE()</f>
        <v>1</v>
      </c>
      <c r="K7" s="0" t="n">
        <f aca="false">IFERROR(__xludf.dummyfunction("""COMPUTED_VALUE"""),72)</f>
        <v>72</v>
      </c>
      <c r="O7" s="0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</row>
    <row r="8" customFormat="false" ht="15.75" hidden="false" customHeight="false" outlineLevel="0" collapsed="false">
      <c r="A8" s="0" t="str">
        <f aca="false">IFERROR(__xludf.dummyfunction("""COMPUTED_VALUE"""),"Горчакова")</f>
        <v>Горчакова</v>
      </c>
      <c r="B8" s="0" t="str">
        <f aca="false">IFERROR(__xludf.dummyfunction("""COMPUTED_VALUE"""),"Ярослава")</f>
        <v>Ярослава</v>
      </c>
      <c r="C8" s="0" t="n">
        <f aca="false">IFERROR(__xludf.dummyfunction("""COMPUTED_VALUE"""),8)</f>
        <v>8</v>
      </c>
      <c r="D8" s="0" t="n">
        <f aca="false">IFERROR(__xludf.dummyfunction("""COMPUTED_VALUE"""),117)</f>
        <v>117</v>
      </c>
      <c r="E8" s="12" t="str">
        <f aca="false">IFERROR(__xludf.dummyfunction("""COMPUTED_VALUE"""),"Английский")</f>
        <v>Английский</v>
      </c>
      <c r="F8" s="1" t="n">
        <f aca="false">TRUE()</f>
        <v>1</v>
      </c>
      <c r="G8" s="1" t="n">
        <f aca="false">TRUE()</f>
        <v>1</v>
      </c>
      <c r="H8" s="1" t="n">
        <f aca="false">TRUE()</f>
        <v>1</v>
      </c>
      <c r="I8" s="1" t="n">
        <f aca="false">TRUE()</f>
        <v>1</v>
      </c>
      <c r="J8" s="1" t="n">
        <f aca="false">TRUE()</f>
        <v>1</v>
      </c>
      <c r="K8" s="0" t="n">
        <f aca="false">IFERROR(__xludf.dummyfunction("""COMPUTED_VALUE"""),45)</f>
        <v>45</v>
      </c>
      <c r="O8" s="0" t="str">
        <f aca="false">IFERROR(__xludf.dummyfunction("""COMPUTED_VALUE"""),"Русское искусство")</f>
        <v>Русское искусство</v>
      </c>
    </row>
    <row r="9" customFormat="false" ht="15.75" hidden="false" customHeight="false" outlineLevel="0" collapsed="false">
      <c r="A9" s="0" t="str">
        <f aca="false">IFERROR(__xludf.dummyfunction("""COMPUTED_VALUE"""),"Гуртовенко")</f>
        <v>Гуртовенко</v>
      </c>
      <c r="B9" s="0" t="str">
        <f aca="false">IFERROR(__xludf.dummyfunction("""COMPUTED_VALUE"""),"Юлия")</f>
        <v>Юлия</v>
      </c>
      <c r="C9" s="0" t="n">
        <f aca="false">IFERROR(__xludf.dummyfunction("""COMPUTED_VALUE"""),9)</f>
        <v>9</v>
      </c>
      <c r="D9" s="0" t="n">
        <f aca="false">IFERROR(__xludf.dummyfunction("""COMPUTED_VALUE"""),117)</f>
        <v>117</v>
      </c>
      <c r="E9" s="12" t="str">
        <f aca="false">IFERROR(__xludf.dummyfunction("""COMPUTED_VALUE"""),"Английский")</f>
        <v>Английский</v>
      </c>
      <c r="F9" s="1" t="n">
        <f aca="false">TRUE()</f>
        <v>1</v>
      </c>
      <c r="G9" s="1" t="n">
        <f aca="false">TRUE()</f>
        <v>1</v>
      </c>
      <c r="H9" s="1" t="n">
        <f aca="false">TRUE()</f>
        <v>1</v>
      </c>
      <c r="I9" s="1" t="n">
        <f aca="false">TRUE()</f>
        <v>1</v>
      </c>
      <c r="J9" s="1" t="n">
        <f aca="false">FALSE()</f>
        <v>0</v>
      </c>
      <c r="K9" s="0" t="n">
        <f aca="false">IFERROR(__xludf.dummyfunction("""COMPUTED_VALUE"""),29)</f>
        <v>29</v>
      </c>
      <c r="O9" s="0" t="str">
        <f aca="false">IFERROR(__xludf.dummyfunction("""COMPUTED_VALUE"""),"Теория большого математика")</f>
        <v>Теория большого математика</v>
      </c>
    </row>
    <row r="10" customFormat="false" ht="15.75" hidden="false" customHeight="false" outlineLevel="0" collapsed="false">
      <c r="A10" s="0" t="str">
        <f aca="false">IFERROR(__xludf.dummyfunction("""COMPUTED_VALUE"""),"Захаров")</f>
        <v>Захаров</v>
      </c>
      <c r="B10" s="0" t="str">
        <f aca="false">IFERROR(__xludf.dummyfunction("""COMPUTED_VALUE"""),"Матвей")</f>
        <v>Матвей</v>
      </c>
      <c r="C10" s="0" t="n">
        <f aca="false">IFERROR(__xludf.dummyfunction("""COMPUTED_VALUE"""),9)</f>
        <v>9</v>
      </c>
      <c r="D10" s="0" t="n">
        <f aca="false">IFERROR(__xludf.dummyfunction("""COMPUTED_VALUE"""),117)</f>
        <v>117</v>
      </c>
      <c r="E10" s="12" t="str">
        <f aca="false">IFERROR(__xludf.dummyfunction("""COMPUTED_VALUE"""),"Английский")</f>
        <v>Английский</v>
      </c>
      <c r="F10" s="1" t="n">
        <f aca="false">TRUE()</f>
        <v>1</v>
      </c>
      <c r="G10" s="1" t="n">
        <f aca="false">TRUE()</f>
        <v>1</v>
      </c>
      <c r="H10" s="1" t="n">
        <f aca="false">TRUE()</f>
        <v>1</v>
      </c>
      <c r="I10" s="1" t="n">
        <f aca="false">TRUE()</f>
        <v>1</v>
      </c>
      <c r="J10" s="1" t="n">
        <f aca="false">FALSE()</f>
        <v>0</v>
      </c>
      <c r="K10" s="0" t="n">
        <f aca="false">IFERROR(__xludf.dummyfunction("""COMPUTED_VALUE"""),60)</f>
        <v>60</v>
      </c>
      <c r="O10" s="0" t="str">
        <f aca="false">IFERROR(__xludf.dummyfunction("""COMPUTED_VALUE"""),"Теория игр")</f>
        <v>Теория игр</v>
      </c>
    </row>
    <row r="11" customFormat="false" ht="15.75" hidden="false" customHeight="false" outlineLevel="0" collapsed="false">
      <c r="A11" s="0" t="str">
        <f aca="false">IFERROR(__xludf.dummyfunction("""COMPUTED_VALUE"""),"Михель")</f>
        <v>Михель</v>
      </c>
      <c r="B11" s="0" t="str">
        <f aca="false">IFERROR(__xludf.dummyfunction("""COMPUTED_VALUE"""),"Сергей")</f>
        <v>Сергей</v>
      </c>
      <c r="C11" s="0" t="n">
        <f aca="false">IFERROR(__xludf.dummyfunction("""COMPUTED_VALUE"""),8)</f>
        <v>8</v>
      </c>
      <c r="D11" s="0" t="n">
        <f aca="false">IFERROR(__xludf.dummyfunction("""COMPUTED_VALUE"""),117)</f>
        <v>117</v>
      </c>
      <c r="E11" s="12" t="str">
        <f aca="false">IFERROR(__xludf.dummyfunction("""COMPUTED_VALUE"""),"Английский")</f>
        <v>Английский</v>
      </c>
      <c r="F11" s="1" t="n">
        <f aca="false">TRUE()</f>
        <v>1</v>
      </c>
      <c r="G11" s="1" t="n">
        <f aca="false">TRUE()</f>
        <v>1</v>
      </c>
      <c r="H11" s="1" t="n">
        <f aca="false">TRUE()</f>
        <v>1</v>
      </c>
      <c r="I11" s="1" t="n">
        <f aca="false">TRUE()</f>
        <v>1</v>
      </c>
      <c r="J11" s="1" t="n">
        <f aca="false">TRUE()</f>
        <v>1</v>
      </c>
      <c r="K11" s="0" t="n">
        <f aca="false">IFERROR(__xludf.dummyfunction("""COMPUTED_VALUE"""),174)</f>
        <v>174</v>
      </c>
    </row>
    <row r="12" customFormat="false" ht="15.75" hidden="false" customHeight="false" outlineLevel="0" collapsed="false">
      <c r="A12" s="0" t="str">
        <f aca="false">IFERROR(__xludf.dummyfunction("""COMPUTED_VALUE"""),"Нуркушева")</f>
        <v>Нуркушева</v>
      </c>
      <c r="B12" s="0" t="str">
        <f aca="false">IFERROR(__xludf.dummyfunction("""COMPUTED_VALUE"""),"Асель")</f>
        <v>Асель</v>
      </c>
      <c r="C12" s="0" t="n">
        <f aca="false">IFERROR(__xludf.dummyfunction("""COMPUTED_VALUE"""),8)</f>
        <v>8</v>
      </c>
      <c r="D12" s="0" t="n">
        <f aca="false">IFERROR(__xludf.dummyfunction("""COMPUTED_VALUE"""),117)</f>
        <v>117</v>
      </c>
      <c r="E12" s="12" t="str">
        <f aca="false">IFERROR(__xludf.dummyfunction("""COMPUTED_VALUE"""),"Английский")</f>
        <v>Английский</v>
      </c>
      <c r="F12" s="1" t="n">
        <f aca="false">TRUE()</f>
        <v>1</v>
      </c>
      <c r="G12" s="1" t="n">
        <f aca="false">TRUE()</f>
        <v>1</v>
      </c>
      <c r="H12" s="1" t="n">
        <f aca="false">FALSE()</f>
        <v>0</v>
      </c>
      <c r="I12" s="1" t="n">
        <f aca="false">FALSE()</f>
        <v>0</v>
      </c>
      <c r="J12" s="1" t="n">
        <f aca="false">TRUE()</f>
        <v>1</v>
      </c>
      <c r="K12" s="0" t="n">
        <f aca="false">IFERROR(__xludf.dummyfunction("""COMPUTED_VALUE"""),65)</f>
        <v>65</v>
      </c>
      <c r="M12" s="34" t="s">
        <v>788</v>
      </c>
    </row>
    <row r="13" customFormat="false" ht="15.75" hidden="false" customHeight="false" outlineLevel="0" collapsed="false">
      <c r="A13" s="0" t="str">
        <f aca="false">IFERROR(__xludf.dummyfunction("""COMPUTED_VALUE"""),"рожкова")</f>
        <v>рожкова</v>
      </c>
      <c r="B13" s="0" t="str">
        <f aca="false">IFERROR(__xludf.dummyfunction("""COMPUTED_VALUE"""),"Вика")</f>
        <v>Вика</v>
      </c>
      <c r="C13" s="0" t="n">
        <f aca="false">IFERROR(__xludf.dummyfunction("""COMPUTED_VALUE"""),7)</f>
        <v>7</v>
      </c>
      <c r="D13" s="0" t="str">
        <f aca="false">IFERROR(__xludf.dummyfunction("""COMPUTED_VALUE"""),"Ключевская школа")</f>
        <v>Ключевская школа</v>
      </c>
      <c r="E13" s="12" t="str">
        <f aca="false">IFERROR(__xludf.dummyfunction("""COMPUTED_VALUE"""),"Английский")</f>
        <v>Английский</v>
      </c>
      <c r="F13" s="1" t="n">
        <f aca="false">TRUE()</f>
        <v>1</v>
      </c>
      <c r="G13" s="1" t="n">
        <f aca="false">TRUE()</f>
        <v>1</v>
      </c>
      <c r="H13" s="1" t="n">
        <f aca="false">FALSE()</f>
        <v>0</v>
      </c>
      <c r="I13" s="1" t="n">
        <f aca="false">TRUE()</f>
        <v>1</v>
      </c>
      <c r="J13" s="1" t="n">
        <f aca="false">TRUE()</f>
        <v>1</v>
      </c>
      <c r="K13" s="0" t="n">
        <f aca="false">IFERROR(__xludf.dummyfunction("""COMPUTED_VALUE"""),24)</f>
        <v>24</v>
      </c>
    </row>
    <row r="14" customFormat="false" ht="15.75" hidden="false" customHeight="false" outlineLevel="0" collapsed="false">
      <c r="A14" s="0" t="str">
        <f aca="false">IFERROR(__xludf.dummyfunction("""COMPUTED_VALUE"""),"Сумленинова")</f>
        <v>Сумленинова</v>
      </c>
      <c r="B14" s="0" t="str">
        <f aca="false">IFERROR(__xludf.dummyfunction("""COMPUTED_VALUE"""),"Полина")</f>
        <v>Полина</v>
      </c>
      <c r="C14" s="0" t="n">
        <f aca="false">IFERROR(__xludf.dummyfunction("""COMPUTED_VALUE"""),8)</f>
        <v>8</v>
      </c>
      <c r="D14" s="0" t="n">
        <f aca="false">IFERROR(__xludf.dummyfunction("""COMPUTED_VALUE"""),117)</f>
        <v>117</v>
      </c>
      <c r="E14" s="12" t="str">
        <f aca="false">IFERROR(__xludf.dummyfunction("""COMPUTED_VALUE"""),"Английский")</f>
        <v>Английский</v>
      </c>
      <c r="F14" s="1" t="n">
        <f aca="false">FALSE()</f>
        <v>0</v>
      </c>
      <c r="G14" s="1" t="n">
        <f aca="false">FALSE()</f>
        <v>0</v>
      </c>
      <c r="H14" s="1" t="n">
        <f aca="false">FALSE()</f>
        <v>0</v>
      </c>
      <c r="I14" s="1" t="n">
        <f aca="false">FALSE()</f>
        <v>0</v>
      </c>
      <c r="J14" s="1" t="n">
        <f aca="false">FALSE()</f>
        <v>0</v>
      </c>
      <c r="K14" s="0" t="n">
        <f aca="false">IFERROR(__xludf.dummyfunction("""COMPUTED_VALUE"""),63)</f>
        <v>63</v>
      </c>
    </row>
    <row r="15" customFormat="false" ht="15.75" hidden="false" customHeight="false" outlineLevel="0" collapsed="false">
      <c r="A15" s="0" t="str">
        <f aca="false">IFERROR(__xludf.dummyfunction("""COMPUTED_VALUE"""),"Сушкова")</f>
        <v>Сушкова</v>
      </c>
      <c r="B15" s="0" t="str">
        <f aca="false">IFERROR(__xludf.dummyfunction("""COMPUTED_VALUE"""),"Ксения")</f>
        <v>Ксения</v>
      </c>
      <c r="C15" s="0" t="n">
        <f aca="false">IFERROR(__xludf.dummyfunction("""COMPUTED_VALUE"""),8)</f>
        <v>8</v>
      </c>
      <c r="D15" s="0" t="n">
        <f aca="false">IFERROR(__xludf.dummyfunction("""COMPUTED_VALUE"""),117)</f>
        <v>117</v>
      </c>
      <c r="E15" s="12" t="str">
        <f aca="false">IFERROR(__xludf.dummyfunction("""COMPUTED_VALUE"""),"Английский")</f>
        <v>Английский</v>
      </c>
      <c r="F15" s="1" t="n">
        <f aca="false">FALSE()</f>
        <v>0</v>
      </c>
      <c r="G15" s="1" t="n">
        <f aca="false">TRUE()</f>
        <v>1</v>
      </c>
      <c r="H15" s="1" t="n">
        <f aca="false">TRUE()</f>
        <v>1</v>
      </c>
      <c r="I15" s="1" t="n">
        <f aca="false">TRUE()</f>
        <v>1</v>
      </c>
      <c r="J15" s="1" t="n">
        <f aca="false">TRUE()</f>
        <v>1</v>
      </c>
      <c r="K15" s="0" t="n">
        <f aca="false">IFERROR(__xludf.dummyfunction("""COMPUTED_VALUE"""),34)</f>
        <v>34</v>
      </c>
    </row>
    <row r="16" customFormat="false" ht="15.75" hidden="false" customHeight="false" outlineLevel="0" collapsed="false">
      <c r="A16" s="0" t="str">
        <f aca="false">IFERROR(__xludf.dummyfunction("""COMPUTED_VALUE"""),"Устымчук")</f>
        <v>Устымчук</v>
      </c>
      <c r="B16" s="0" t="str">
        <f aca="false">IFERROR(__xludf.dummyfunction("""COMPUTED_VALUE"""),"Софья")</f>
        <v>Софья</v>
      </c>
      <c r="C16" s="0" t="n">
        <f aca="false">IFERROR(__xludf.dummyfunction("""COMPUTED_VALUE"""),9)</f>
        <v>9</v>
      </c>
      <c r="D16" s="0" t="n">
        <f aca="false">IFERROR(__xludf.dummyfunction("""COMPUTED_VALUE"""),74)</f>
        <v>74</v>
      </c>
      <c r="E16" s="12" t="str">
        <f aca="false">IFERROR(__xludf.dummyfunction("""COMPUTED_VALUE"""),"Английский")</f>
        <v>Английский</v>
      </c>
      <c r="F16" s="1" t="n">
        <f aca="false">FALSE()</f>
        <v>0</v>
      </c>
      <c r="G16" s="1" t="n">
        <f aca="false">FALSE()</f>
        <v>0</v>
      </c>
      <c r="H16" s="1" t="n">
        <f aca="false">FALSE()</f>
        <v>0</v>
      </c>
      <c r="I16" s="1" t="n">
        <f aca="false">FALSE()</f>
        <v>0</v>
      </c>
      <c r="J16" s="1" t="n">
        <f aca="false">FALSE()</f>
        <v>0</v>
      </c>
      <c r="K16" s="0" t="n">
        <f aca="false">IFERROR(__xludf.dummyfunction("""COMPUTED_VALUE"""),43)</f>
        <v>43</v>
      </c>
    </row>
    <row r="17" customFormat="false" ht="15.75" hidden="false" customHeight="false" outlineLevel="0" collapsed="false">
      <c r="A17" s="0" t="str">
        <f aca="false">IFERROR(__xludf.dummyfunction("""COMPUTED_VALUE"""),"Шмидт")</f>
        <v>Шмидт</v>
      </c>
      <c r="B17" s="0" t="str">
        <f aca="false">IFERROR(__xludf.dummyfunction("""COMPUTED_VALUE"""),"Екатерина")</f>
        <v>Екатерина</v>
      </c>
      <c r="C17" s="0" t="n">
        <f aca="false">IFERROR(__xludf.dummyfunction("""COMPUTED_VALUE"""),7)</f>
        <v>7</v>
      </c>
      <c r="D17" s="0" t="n">
        <f aca="false">IFERROR(__xludf.dummyfunction("""COMPUTED_VALUE"""),7)</f>
        <v>7</v>
      </c>
      <c r="E17" s="12" t="str">
        <f aca="false">IFERROR(__xludf.dummyfunction("""COMPUTED_VALUE"""),"Английский")</f>
        <v>Английский</v>
      </c>
      <c r="F17" s="1" t="n">
        <f aca="false">TRUE()</f>
        <v>1</v>
      </c>
      <c r="G17" s="1" t="n">
        <f aca="false">TRUE()</f>
        <v>1</v>
      </c>
      <c r="H17" s="1" t="n">
        <f aca="false">TRUE()</f>
        <v>1</v>
      </c>
      <c r="I17" s="1" t="n">
        <f aca="false">TRUE()</f>
        <v>1</v>
      </c>
      <c r="J17" s="1" t="n">
        <f aca="false">TRUE()</f>
        <v>1</v>
      </c>
      <c r="K17" s="0" t="n">
        <f aca="false">IFERROR(__xludf.dummyfunction("""COMPUTED_VALUE"""),26)</f>
        <v>26</v>
      </c>
    </row>
    <row r="18" customFormat="false" ht="15.75" hidden="false" customHeight="false" outlineLevel="0" collapsed="false">
      <c r="A18" s="0" t="str">
        <f aca="false">IFERROR(__xludf.dummyfunction("""COMPUTED_VALUE"""),"Щукина ")</f>
        <v>Щукина</v>
      </c>
      <c r="B18" s="0" t="str">
        <f aca="false">IFERROR(__xludf.dummyfunction("""COMPUTED_VALUE"""),"Елена ")</f>
        <v>Елена</v>
      </c>
      <c r="C18" s="0" t="n">
        <f aca="false">IFERROR(__xludf.dummyfunction("""COMPUTED_VALUE"""),7)</f>
        <v>7</v>
      </c>
      <c r="D18" s="0" t="n">
        <f aca="false">IFERROR(__xludf.dummyfunction("""COMPUTED_VALUE"""),12)</f>
        <v>12</v>
      </c>
      <c r="E18" s="12" t="str">
        <f aca="false">IFERROR(__xludf.dummyfunction("""COMPUTED_VALUE"""),"Английский")</f>
        <v>Английский</v>
      </c>
      <c r="F18" s="1" t="n">
        <f aca="false">TRUE()</f>
        <v>1</v>
      </c>
      <c r="G18" s="1" t="n">
        <f aca="false">TRUE()</f>
        <v>1</v>
      </c>
      <c r="H18" s="1" t="n">
        <f aca="false">FALSE()</f>
        <v>0</v>
      </c>
      <c r="I18" s="1" t="n">
        <f aca="false">TRUE()</f>
        <v>1</v>
      </c>
      <c r="J18" s="1" t="n">
        <f aca="false">TRUE()</f>
        <v>1</v>
      </c>
      <c r="K18" s="0" t="n">
        <f aca="false">IFERROR(__xludf.dummyfunction("""COMPUTED_VALUE"""),23)</f>
        <v>23</v>
      </c>
    </row>
    <row r="19" customFormat="false" ht="15.75" hidden="false" customHeight="false" outlineLevel="0" collapsed="false">
      <c r="A19" s="0" t="str">
        <f aca="false">IFERROR(__xludf.dummyfunction("""COMPUTED_VALUE"""),"Деркач")</f>
        <v>Деркач</v>
      </c>
      <c r="B19" s="0" t="str">
        <f aca="false">IFERROR(__xludf.dummyfunction("""COMPUTED_VALUE"""),"Александра")</f>
        <v>Александра</v>
      </c>
      <c r="C19" s="0" t="n">
        <f aca="false">IFERROR(__xludf.dummyfunction("""COMPUTED_VALUE"""),9)</f>
        <v>9</v>
      </c>
      <c r="D19" s="0" t="n">
        <f aca="false">IFERROR(__xludf.dummyfunction("""COMPUTED_VALUE"""),117)</f>
        <v>117</v>
      </c>
      <c r="E19" s="12" t="str">
        <f aca="false">IFERROR(__xludf.dummyfunction("""COMPUTED_VALUE"""),"Знакомство с теорией графов")</f>
        <v>Знакомство с теорией графов</v>
      </c>
      <c r="F19" s="1" t="n">
        <f aca="false">FALSE()</f>
        <v>0</v>
      </c>
      <c r="G19" s="1" t="n">
        <f aca="false">FALSE()</f>
        <v>0</v>
      </c>
      <c r="H19" s="1" t="n">
        <f aca="false">FALSE()</f>
        <v>0</v>
      </c>
      <c r="I19" s="1" t="n">
        <f aca="false">FALSE()</f>
        <v>0</v>
      </c>
      <c r="J19" s="1" t="n">
        <f aca="false">FALSE()</f>
        <v>0</v>
      </c>
      <c r="K19" s="0" t="n">
        <f aca="false">IFERROR(__xludf.dummyfunction("""COMPUTED_VALUE"""),35)</f>
        <v>35</v>
      </c>
      <c r="M19" s="12" t="str">
        <f aca="false">IF(COUNTIF('Переформатированный ответ'!V2:Z200,TRUE()) &lt; COUNTIF(F2:J200,TRUE()),"Не загружено",IF(COUNTIF('Переформатированный ответ'!V2:Z200,TRUE()) = COUNTIF(F2:J200,TRUE()),"Загружено","Пиздец"))</f>
        <v>Загружено</v>
      </c>
    </row>
    <row r="20" customFormat="false" ht="15.75" hidden="false" customHeight="false" outlineLevel="0" collapsed="false">
      <c r="A20" s="0" t="str">
        <f aca="false">IFERROR(__xludf.dummyfunction("""COMPUTED_VALUE"""),"Колесник")</f>
        <v>Колесник</v>
      </c>
      <c r="B20" s="0" t="str">
        <f aca="false">IFERROR(__xludf.dummyfunction("""COMPUTED_VALUE"""),"Артём")</f>
        <v>Артём</v>
      </c>
      <c r="C20" s="0" t="n">
        <f aca="false">IFERROR(__xludf.dummyfunction("""COMPUTED_VALUE"""),10)</f>
        <v>10</v>
      </c>
      <c r="D20" s="0" t="n">
        <f aca="false">IFERROR(__xludf.dummyfunction("""COMPUTED_VALUE"""),64)</f>
        <v>64</v>
      </c>
      <c r="E20" s="12" t="str">
        <f aca="false">IFERROR(__xludf.dummyfunction("""COMPUTED_VALUE"""),"Знакомство с теорией графов")</f>
        <v>Знакомство с теорией графов</v>
      </c>
      <c r="F20" s="1" t="n">
        <f aca="false">TRUE()</f>
        <v>1</v>
      </c>
      <c r="G20" s="1" t="n">
        <f aca="false">TRUE()</f>
        <v>1</v>
      </c>
      <c r="H20" s="1" t="n">
        <f aca="false">TRUE()</f>
        <v>1</v>
      </c>
      <c r="I20" s="1" t="n">
        <f aca="false">TRUE()</f>
        <v>1</v>
      </c>
      <c r="J20" s="1" t="n">
        <f aca="false">TRUE()</f>
        <v>1</v>
      </c>
      <c r="K20" s="0" t="n">
        <f aca="false">IFERROR(__xludf.dummyfunction("""COMPUTED_VALUE"""),11)</f>
        <v>11</v>
      </c>
    </row>
    <row r="21" customFormat="false" ht="15.75" hidden="false" customHeight="false" outlineLevel="0" collapsed="false">
      <c r="A21" s="0" t="str">
        <f aca="false">IFERROR(__xludf.dummyfunction("""COMPUTED_VALUE"""),"Никифоров")</f>
        <v>Никифоров</v>
      </c>
      <c r="B21" s="0" t="str">
        <f aca="false">IFERROR(__xludf.dummyfunction("""COMPUTED_VALUE"""),"Лука")</f>
        <v>Лука</v>
      </c>
      <c r="C21" s="0" t="n">
        <f aca="false">IFERROR(__xludf.dummyfunction("""COMPUTED_VALUE"""),10)</f>
        <v>10</v>
      </c>
      <c r="D21" s="0" t="n">
        <f aca="false">IFERROR(__xludf.dummyfunction("""COMPUTED_VALUE"""),64)</f>
        <v>64</v>
      </c>
      <c r="E21" s="12" t="str">
        <f aca="false">IFERROR(__xludf.dummyfunction("""COMPUTED_VALUE"""),"Знакомство с теорией графов")</f>
        <v>Знакомство с теорией графов</v>
      </c>
      <c r="F21" s="1" t="n">
        <f aca="false">FALSE()</f>
        <v>0</v>
      </c>
      <c r="G21" s="1" t="n">
        <f aca="false">TRUE()</f>
        <v>1</v>
      </c>
      <c r="H21" s="1" t="n">
        <f aca="false">TRUE()</f>
        <v>1</v>
      </c>
      <c r="I21" s="1" t="n">
        <f aca="false">TRUE()</f>
        <v>1</v>
      </c>
      <c r="J21" s="1" t="n">
        <f aca="false">FALSE()</f>
        <v>0</v>
      </c>
      <c r="K21" s="0" t="n">
        <f aca="false">IFERROR(__xludf.dummyfunction("""COMPUTED_VALUE"""),5)</f>
        <v>5</v>
      </c>
    </row>
    <row r="22" customFormat="false" ht="15.75" hidden="false" customHeight="false" outlineLevel="0" collapsed="false">
      <c r="A22" s="0" t="str">
        <f aca="false">IFERROR(__xludf.dummyfunction("""COMPUTED_VALUE"""),"Панева")</f>
        <v>Панева</v>
      </c>
      <c r="B22" s="0" t="str">
        <f aca="false">IFERROR(__xludf.dummyfunction("""COMPUTED_VALUE"""),"Иляна ")</f>
        <v>Иляна</v>
      </c>
      <c r="C22" s="0" t="n">
        <f aca="false">IFERROR(__xludf.dummyfunction("""COMPUTED_VALUE"""),10)</f>
        <v>10</v>
      </c>
      <c r="D22" s="0" t="n">
        <f aca="false">IFERROR(__xludf.dummyfunction("""COMPUTED_VALUE"""),149)</f>
        <v>149</v>
      </c>
      <c r="E22" s="12" t="str">
        <f aca="false">IFERROR(__xludf.dummyfunction("""COMPUTED_VALUE"""),"Знакомство с теорией графов")</f>
        <v>Знакомство с теорией графов</v>
      </c>
      <c r="F22" s="1" t="n">
        <f aca="false">FALSE()</f>
        <v>0</v>
      </c>
      <c r="G22" s="1" t="n">
        <f aca="false">FALSE()</f>
        <v>0</v>
      </c>
      <c r="H22" s="1" t="n">
        <f aca="false">FALSE()</f>
        <v>0</v>
      </c>
      <c r="I22" s="1" t="n">
        <f aca="false">FALSE()</f>
        <v>0</v>
      </c>
      <c r="J22" s="1" t="n">
        <f aca="false">FALSE()</f>
        <v>0</v>
      </c>
      <c r="K22" s="0" t="n">
        <f aca="false">IFERROR(__xludf.dummyfunction("""COMPUTED_VALUE"""),128)</f>
        <v>128</v>
      </c>
    </row>
    <row r="23" customFormat="false" ht="15.75" hidden="false" customHeight="false" outlineLevel="0" collapsed="false">
      <c r="A23" s="0" t="str">
        <f aca="false">IFERROR(__xludf.dummyfunction("""COMPUTED_VALUE"""),"Прохоров")</f>
        <v>Прохоров</v>
      </c>
      <c r="B23" s="0" t="str">
        <f aca="false">IFERROR(__xludf.dummyfunction("""COMPUTED_VALUE"""),"Сергей")</f>
        <v>Сергей</v>
      </c>
      <c r="C23" s="0" t="n">
        <f aca="false">IFERROR(__xludf.dummyfunction("""COMPUTED_VALUE"""),9)</f>
        <v>9</v>
      </c>
      <c r="D23" s="0" t="n">
        <f aca="false">IFERROR(__xludf.dummyfunction("""COMPUTED_VALUE"""),139)</f>
        <v>139</v>
      </c>
      <c r="E23" s="12" t="str">
        <f aca="false">IFERROR(__xludf.dummyfunction("""COMPUTED_VALUE"""),"Знакомство с теорией графов")</f>
        <v>Знакомство с теорией графов</v>
      </c>
      <c r="F23" s="1" t="n">
        <f aca="false">TRUE()</f>
        <v>1</v>
      </c>
      <c r="G23" s="1" t="n">
        <f aca="false">TRUE()</f>
        <v>1</v>
      </c>
      <c r="H23" s="1" t="n">
        <f aca="false">TRUE()</f>
        <v>1</v>
      </c>
      <c r="I23" s="1" t="n">
        <f aca="false">TRUE()</f>
        <v>1</v>
      </c>
      <c r="J23" s="1" t="n">
        <f aca="false">TRUE()</f>
        <v>1</v>
      </c>
      <c r="K23" s="0" t="n">
        <f aca="false">IFERROR(__xludf.dummyfunction("""COMPUTED_VALUE"""),47)</f>
        <v>47</v>
      </c>
    </row>
    <row r="24" customFormat="false" ht="15.75" hidden="false" customHeight="false" outlineLevel="0" collapsed="false">
      <c r="A24" s="0" t="str">
        <f aca="false">IFERROR(__xludf.dummyfunction("""COMPUTED_VALUE"""),"Ровенских")</f>
        <v>Ровенских</v>
      </c>
      <c r="B24" s="0" t="str">
        <f aca="false">IFERROR(__xludf.dummyfunction("""COMPUTED_VALUE"""),"Михаил")</f>
        <v>Михаил</v>
      </c>
      <c r="C24" s="0" t="n">
        <f aca="false">IFERROR(__xludf.dummyfunction("""COMPUTED_VALUE"""),7)</f>
        <v>7</v>
      </c>
      <c r="D24" s="0" t="n">
        <f aca="false">IFERROR(__xludf.dummyfunction("""COMPUTED_VALUE"""),84)</f>
        <v>84</v>
      </c>
      <c r="E24" s="12" t="str">
        <f aca="false">IFERROR(__xludf.dummyfunction("""COMPUTED_VALUE"""),"Знакомство с теорией графов")</f>
        <v>Знакомство с теорией графов</v>
      </c>
      <c r="F24" s="1" t="n">
        <f aca="false">TRUE()</f>
        <v>1</v>
      </c>
      <c r="G24" s="1" t="n">
        <f aca="false">TRUE()</f>
        <v>1</v>
      </c>
      <c r="H24" s="1" t="n">
        <f aca="false">TRUE()</f>
        <v>1</v>
      </c>
      <c r="I24" s="1" t="n">
        <f aca="false">TRUE()</f>
        <v>1</v>
      </c>
      <c r="J24" s="1" t="n">
        <f aca="false">TRUE()</f>
        <v>1</v>
      </c>
      <c r="K24" s="0" t="n">
        <f aca="false">IFERROR(__xludf.dummyfunction("""COMPUTED_VALUE"""),117)</f>
        <v>117</v>
      </c>
    </row>
    <row r="25" customFormat="false" ht="15.75" hidden="false" customHeight="false" outlineLevel="0" collapsed="false">
      <c r="A25" s="0" t="str">
        <f aca="false">IFERROR(__xludf.dummyfunction("""COMPUTED_VALUE"""),"Стативка")</f>
        <v>Стативка</v>
      </c>
      <c r="B25" s="0" t="str">
        <f aca="false">IFERROR(__xludf.dummyfunction("""COMPUTED_VALUE"""),"Максим")</f>
        <v>Максим</v>
      </c>
      <c r="C25" s="0" t="n">
        <f aca="false">IFERROR(__xludf.dummyfunction("""COMPUTED_VALUE"""),7)</f>
        <v>7</v>
      </c>
      <c r="D25" s="0" t="n">
        <f aca="false">IFERROR(__xludf.dummyfunction("""COMPUTED_VALUE"""),117)</f>
        <v>117</v>
      </c>
      <c r="E25" s="12" t="str">
        <f aca="false">IFERROR(__xludf.dummyfunction("""COMPUTED_VALUE"""),"Знакомство с теорией графов")</f>
        <v>Знакомство с теорией графов</v>
      </c>
      <c r="F25" s="1" t="n">
        <f aca="false">TRUE()</f>
        <v>1</v>
      </c>
      <c r="G25" s="1" t="n">
        <f aca="false">TRUE()</f>
        <v>1</v>
      </c>
      <c r="H25" s="1" t="n">
        <f aca="false">TRUE()</f>
        <v>1</v>
      </c>
      <c r="I25" s="1" t="n">
        <f aca="false">TRUE()</f>
        <v>1</v>
      </c>
      <c r="J25" s="1" t="n">
        <f aca="false">FALSE()</f>
        <v>0</v>
      </c>
      <c r="K25" s="0" t="n">
        <f aca="false">IFERROR(__xludf.dummyfunction("""COMPUTED_VALUE"""),137)</f>
        <v>137</v>
      </c>
    </row>
    <row r="26" customFormat="false" ht="15.75" hidden="false" customHeight="false" outlineLevel="0" collapsed="false">
      <c r="A26" s="0" t="str">
        <f aca="false">IFERROR(__xludf.dummyfunction("""COMPUTED_VALUE"""),"Шереш")</f>
        <v>Шереш</v>
      </c>
      <c r="B26" s="0" t="str">
        <f aca="false">IFERROR(__xludf.dummyfunction("""COMPUTED_VALUE"""),"Егор")</f>
        <v>Егор</v>
      </c>
      <c r="C26" s="0" t="n">
        <f aca="false">IFERROR(__xludf.dummyfunction("""COMPUTED_VALUE"""),9)</f>
        <v>9</v>
      </c>
      <c r="D26" s="0" t="n">
        <f aca="false">IFERROR(__xludf.dummyfunction("""COMPUTED_VALUE"""),149)</f>
        <v>149</v>
      </c>
      <c r="E26" s="12" t="str">
        <f aca="false">IFERROR(__xludf.dummyfunction("""COMPUTED_VALUE"""),"Знакомство с теорией графов")</f>
        <v>Знакомство с теорией графов</v>
      </c>
      <c r="F26" s="1" t="n">
        <f aca="false">TRUE()</f>
        <v>1</v>
      </c>
      <c r="G26" s="1" t="n">
        <f aca="false">TRUE()</f>
        <v>1</v>
      </c>
      <c r="H26" s="1" t="n">
        <f aca="false">TRUE()</f>
        <v>1</v>
      </c>
      <c r="I26" s="1" t="n">
        <f aca="false">TRUE()</f>
        <v>1</v>
      </c>
      <c r="J26" s="1" t="n">
        <f aca="false">TRUE()</f>
        <v>1</v>
      </c>
      <c r="K26" s="0" t="n">
        <f aca="false">IFERROR(__xludf.dummyfunction("""COMPUTED_VALUE"""),167)</f>
        <v>167</v>
      </c>
    </row>
    <row r="27" customFormat="false" ht="15.75" hidden="false" customHeight="false" outlineLevel="0" collapsed="false">
      <c r="A27" s="0" t="str">
        <f aca="false">IFERROR(__xludf.dummyfunction("""COMPUTED_VALUE"""),"Щипачёв")</f>
        <v>Щипачёв</v>
      </c>
      <c r="B27" s="0" t="str">
        <f aca="false">IFERROR(__xludf.dummyfunction("""COMPUTED_VALUE"""),"Артём")</f>
        <v>Артём</v>
      </c>
      <c r="C27" s="0" t="n">
        <f aca="false">IFERROR(__xludf.dummyfunction("""COMPUTED_VALUE"""),7)</f>
        <v>7</v>
      </c>
      <c r="D27" s="0" t="n">
        <f aca="false">IFERROR(__xludf.dummyfunction("""COMPUTED_VALUE"""),117)</f>
        <v>117</v>
      </c>
      <c r="E27" s="12" t="str">
        <f aca="false">IFERROR(__xludf.dummyfunction("""COMPUTED_VALUE"""),"Знакомство с теорией графов")</f>
        <v>Знакомство с теорией графов</v>
      </c>
      <c r="F27" s="1" t="n">
        <f aca="false">TRUE()</f>
        <v>1</v>
      </c>
      <c r="G27" s="1" t="n">
        <f aca="false">TRUE()</f>
        <v>1</v>
      </c>
      <c r="H27" s="1" t="n">
        <f aca="false">TRUE()</f>
        <v>1</v>
      </c>
      <c r="I27" s="1" t="n">
        <f aca="false">TRUE()</f>
        <v>1</v>
      </c>
      <c r="J27" s="1" t="n">
        <f aca="false">TRUE()</f>
        <v>1</v>
      </c>
      <c r="K27" s="0" t="n">
        <f aca="false">IFERROR(__xludf.dummyfunction("""COMPUTED_VALUE"""),164)</f>
        <v>164</v>
      </c>
    </row>
    <row r="28" customFormat="false" ht="15.75" hidden="false" customHeight="false" outlineLevel="0" collapsed="false">
      <c r="A28" s="0" t="str">
        <f aca="false">IFERROR(__xludf.dummyfunction("""COMPUTED_VALUE"""),"Рядовой")</f>
        <v>Рядовой</v>
      </c>
      <c r="B28" s="0" t="str">
        <f aca="false">IFERROR(__xludf.dummyfunction("""COMPUTED_VALUE"""),"Тимофей")</f>
        <v>Тимофей</v>
      </c>
      <c r="C28" s="0" t="n">
        <f aca="false">IFERROR(__xludf.dummyfunction("""COMPUTED_VALUE"""),9)</f>
        <v>9</v>
      </c>
      <c r="D28" s="0" t="n">
        <f aca="false">IFERROR(__xludf.dummyfunction("""COMPUTED_VALUE"""),117)</f>
        <v>117</v>
      </c>
      <c r="E28" s="12" t="str">
        <f aca="false">IFERROR(__xludf.dummyfunction("""COMPUTED_VALUE"""),"Инженерная и компьютерная графика, начертательная геометрия")</f>
        <v>Инженерная и компьютерная графика, начертательная геометрия</v>
      </c>
      <c r="F28" s="1" t="n">
        <f aca="false">FALSE()</f>
        <v>0</v>
      </c>
      <c r="G28" s="1" t="n">
        <f aca="false">FALSE()</f>
        <v>0</v>
      </c>
      <c r="H28" s="1" t="n">
        <f aca="false">FALSE()</f>
        <v>0</v>
      </c>
      <c r="I28" s="1" t="n">
        <f aca="false">FALSE()</f>
        <v>0</v>
      </c>
      <c r="J28" s="1" t="n">
        <f aca="false">FALSE()</f>
        <v>0</v>
      </c>
      <c r="K28" s="0" t="n">
        <f aca="false">IFERROR(__xludf.dummyfunction("""COMPUTED_VALUE"""),61)</f>
        <v>61</v>
      </c>
    </row>
    <row r="29" customFormat="false" ht="15.75" hidden="false" customHeight="false" outlineLevel="0" collapsed="false">
      <c r="A29" s="0" t="str">
        <f aca="false">IFERROR(__xludf.dummyfunction("""COMPUTED_VALUE"""),"Алексеев ")</f>
        <v>Алексеев</v>
      </c>
      <c r="B29" s="0" t="str">
        <f aca="false">IFERROR(__xludf.dummyfunction("""COMPUTED_VALUE"""),"Сергей")</f>
        <v>Сергей</v>
      </c>
      <c r="C29" s="0" t="n">
        <f aca="false">IFERROR(__xludf.dummyfunction("""COMPUTED_VALUE"""),10)</f>
        <v>10</v>
      </c>
      <c r="D29" s="0" t="n">
        <f aca="false">IFERROR(__xludf.dummyfunction("""COMPUTED_VALUE"""),117)</f>
        <v>117</v>
      </c>
      <c r="E29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29" s="1" t="n">
        <f aca="false">TRUE()</f>
        <v>1</v>
      </c>
      <c r="G29" s="1" t="n">
        <f aca="false">FALSE()</f>
        <v>0</v>
      </c>
      <c r="H29" s="1" t="n">
        <f aca="false">FALSE()</f>
        <v>0</v>
      </c>
      <c r="I29" s="1" t="n">
        <f aca="false">FALSE()</f>
        <v>0</v>
      </c>
      <c r="J29" s="1" t="n">
        <f aca="false">FALSE()</f>
        <v>0</v>
      </c>
      <c r="K29" s="0" t="n">
        <f aca="false">IFERROR(__xludf.dummyfunction("""COMPUTED_VALUE"""),114)</f>
        <v>114</v>
      </c>
    </row>
    <row r="30" customFormat="false" ht="15.75" hidden="false" customHeight="false" outlineLevel="0" collapsed="false">
      <c r="A30" s="0" t="str">
        <f aca="false">IFERROR(__xludf.dummyfunction("""COMPUTED_VALUE"""),"Анохина ")</f>
        <v>Анохина</v>
      </c>
      <c r="B30" s="0" t="str">
        <f aca="false">IFERROR(__xludf.dummyfunction("""COMPUTED_VALUE"""),"Полина ")</f>
        <v>Полина</v>
      </c>
      <c r="C30" s="0" t="n">
        <f aca="false">IFERROR(__xludf.dummyfunction("""COMPUTED_VALUE"""),8)</f>
        <v>8</v>
      </c>
      <c r="D30" s="0" t="n">
        <f aca="false">IFERROR(__xludf.dummyfunction("""COMPUTED_VALUE"""),117)</f>
        <v>117</v>
      </c>
      <c r="E30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0" s="1" t="n">
        <f aca="false">TRUE()</f>
        <v>1</v>
      </c>
      <c r="G30" s="1" t="n">
        <f aca="false">TRUE()</f>
        <v>1</v>
      </c>
      <c r="H30" s="1" t="n">
        <f aca="false">FALSE()</f>
        <v>0</v>
      </c>
      <c r="I30" s="1" t="n">
        <f aca="false">FALSE()</f>
        <v>0</v>
      </c>
      <c r="J30" s="1" t="n">
        <f aca="false">TRUE()</f>
        <v>1</v>
      </c>
      <c r="K30" s="0" t="n">
        <f aca="false">IFERROR(__xludf.dummyfunction("""COMPUTED_VALUE"""),105)</f>
        <v>105</v>
      </c>
    </row>
    <row r="31" customFormat="false" ht="15.75" hidden="false" customHeight="false" outlineLevel="0" collapsed="false">
      <c r="A31" s="0" t="str">
        <f aca="false">IFERROR(__xludf.dummyfunction("""COMPUTED_VALUE"""),"Бахмутский ")</f>
        <v>Бахмутский</v>
      </c>
      <c r="B31" s="0" t="str">
        <f aca="false">IFERROR(__xludf.dummyfunction("""COMPUTED_VALUE"""),"Андрей")</f>
        <v>Андрей</v>
      </c>
      <c r="C31" s="0" t="n">
        <f aca="false">IFERROR(__xludf.dummyfunction("""COMPUTED_VALUE"""),10)</f>
        <v>10</v>
      </c>
      <c r="D31" s="0" t="n">
        <f aca="false">IFERROR(__xludf.dummyfunction("""COMPUTED_VALUE"""),117)</f>
        <v>117</v>
      </c>
      <c r="E31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1" s="1" t="n">
        <f aca="false">TRUE()</f>
        <v>1</v>
      </c>
      <c r="G31" s="1" t="n">
        <f aca="false">TRUE()</f>
        <v>1</v>
      </c>
      <c r="H31" s="1" t="n">
        <f aca="false">TRUE()</f>
        <v>1</v>
      </c>
      <c r="I31" s="1" t="n">
        <f aca="false">TRUE()</f>
        <v>1</v>
      </c>
      <c r="J31" s="1" t="n">
        <f aca="false">TRUE()</f>
        <v>1</v>
      </c>
      <c r="K31" s="0" t="n">
        <f aca="false">IFERROR(__xludf.dummyfunction("""COMPUTED_VALUE"""),96)</f>
        <v>96</v>
      </c>
    </row>
    <row r="32" customFormat="false" ht="15.75" hidden="false" customHeight="false" outlineLevel="0" collapsed="false">
      <c r="A32" s="0" t="str">
        <f aca="false">IFERROR(__xludf.dummyfunction("""COMPUTED_VALUE"""),"Вольф")</f>
        <v>Вольф</v>
      </c>
      <c r="B32" s="0" t="str">
        <f aca="false">IFERROR(__xludf.dummyfunction("""COMPUTED_VALUE"""),"Екатерина")</f>
        <v>Екатерина</v>
      </c>
      <c r="C32" s="0" t="n">
        <f aca="false">IFERROR(__xludf.dummyfunction("""COMPUTED_VALUE"""),10)</f>
        <v>10</v>
      </c>
      <c r="D32" s="0" t="n">
        <f aca="false">IFERROR(__xludf.dummyfunction("""COMPUTED_VALUE"""),117)</f>
        <v>117</v>
      </c>
      <c r="E32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2" s="1" t="n">
        <f aca="false">TRUE()</f>
        <v>1</v>
      </c>
      <c r="G32" s="1" t="n">
        <f aca="false">TRUE()</f>
        <v>1</v>
      </c>
      <c r="H32" s="1" t="n">
        <f aca="false">TRUE()</f>
        <v>1</v>
      </c>
      <c r="I32" s="1" t="n">
        <f aca="false">TRUE()</f>
        <v>1</v>
      </c>
      <c r="J32" s="1" t="n">
        <f aca="false">TRUE()</f>
        <v>1</v>
      </c>
      <c r="K32" s="0" t="n">
        <f aca="false">IFERROR(__xludf.dummyfunction("""COMPUTED_VALUE"""),98)</f>
        <v>98</v>
      </c>
    </row>
    <row r="33" customFormat="false" ht="15.75" hidden="false" customHeight="false" outlineLevel="0" collapsed="false">
      <c r="A33" s="0" t="str">
        <f aca="false">IFERROR(__xludf.dummyfunction("""COMPUTED_VALUE"""),"Геталова")</f>
        <v>Геталова</v>
      </c>
      <c r="B33" s="0" t="str">
        <f aca="false">IFERROR(__xludf.dummyfunction("""COMPUTED_VALUE"""),"Ирина")</f>
        <v>Ирина</v>
      </c>
      <c r="C33" s="0" t="n">
        <f aca="false">IFERROR(__xludf.dummyfunction("""COMPUTED_VALUE"""),10)</f>
        <v>10</v>
      </c>
      <c r="D33" s="0" t="n">
        <f aca="false">IFERROR(__xludf.dummyfunction("""COMPUTED_VALUE"""),36)</f>
        <v>36</v>
      </c>
      <c r="E33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3" s="1" t="n">
        <f aca="false">TRUE()</f>
        <v>1</v>
      </c>
      <c r="G33" s="1" t="n">
        <f aca="false">TRUE()</f>
        <v>1</v>
      </c>
      <c r="H33" s="1" t="n">
        <f aca="false">TRUE()</f>
        <v>1</v>
      </c>
      <c r="I33" s="1" t="n">
        <f aca="false">TRUE()</f>
        <v>1</v>
      </c>
      <c r="J33" s="1" t="n">
        <f aca="false">TRUE()</f>
        <v>1</v>
      </c>
      <c r="K33" s="0" t="n">
        <f aca="false">IFERROR(__xludf.dummyfunction("""COMPUTED_VALUE"""),52)</f>
        <v>52</v>
      </c>
    </row>
    <row r="34" customFormat="false" ht="15.75" hidden="false" customHeight="false" outlineLevel="0" collapsed="false">
      <c r="A34" s="0" t="str">
        <f aca="false">IFERROR(__xludf.dummyfunction("""COMPUTED_VALUE"""),"Григорьев ")</f>
        <v>Григорьев</v>
      </c>
      <c r="B34" s="0" t="str">
        <f aca="false">IFERROR(__xludf.dummyfunction("""COMPUTED_VALUE"""),"Сергей")</f>
        <v>Сергей</v>
      </c>
      <c r="C34" s="0" t="n">
        <f aca="false">IFERROR(__xludf.dummyfunction("""COMPUTED_VALUE"""),10)</f>
        <v>10</v>
      </c>
      <c r="D34" s="0" t="n">
        <f aca="false">IFERROR(__xludf.dummyfunction("""COMPUTED_VALUE"""),117)</f>
        <v>117</v>
      </c>
      <c r="E34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4" s="1" t="n">
        <f aca="false">FALSE()</f>
        <v>0</v>
      </c>
      <c r="G34" s="1" t="n">
        <f aca="false">TRUE()</f>
        <v>1</v>
      </c>
      <c r="H34" s="1" t="n">
        <f aca="false">FALSE()</f>
        <v>0</v>
      </c>
      <c r="I34" s="1" t="n">
        <f aca="false">FALSE()</f>
        <v>0</v>
      </c>
      <c r="J34" s="1" t="n">
        <f aca="false">FALSE()</f>
        <v>0</v>
      </c>
      <c r="K34" s="0" t="n">
        <f aca="false">IFERROR(__xludf.dummyfunction("""COMPUTED_VALUE"""),108)</f>
        <v>108</v>
      </c>
    </row>
    <row r="35" customFormat="false" ht="15.75" hidden="false" customHeight="false" outlineLevel="0" collapsed="false">
      <c r="A35" s="0" t="str">
        <f aca="false">IFERROR(__xludf.dummyfunction("""COMPUTED_VALUE"""),"Давыдова")</f>
        <v>Давыдова</v>
      </c>
      <c r="B35" s="0" t="str">
        <f aca="false">IFERROR(__xludf.dummyfunction("""COMPUTED_VALUE"""),"Елизавета")</f>
        <v>Елизавета</v>
      </c>
      <c r="C35" s="0" t="n">
        <f aca="false">IFERROR(__xludf.dummyfunction("""COMPUTED_VALUE"""),8)</f>
        <v>8</v>
      </c>
      <c r="D35" s="0" t="n">
        <f aca="false">IFERROR(__xludf.dummyfunction("""COMPUTED_VALUE"""),117)</f>
        <v>117</v>
      </c>
      <c r="E35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5" s="1" t="n">
        <f aca="false">FALSE()</f>
        <v>0</v>
      </c>
      <c r="G35" s="1" t="n">
        <f aca="false">FALSE()</f>
        <v>0</v>
      </c>
      <c r="H35" s="1" t="n">
        <f aca="false">FALSE()</f>
        <v>0</v>
      </c>
      <c r="I35" s="1" t="n">
        <f aca="false">FALSE()</f>
        <v>0</v>
      </c>
      <c r="J35" s="1" t="n">
        <f aca="false">FALSE()</f>
        <v>0</v>
      </c>
      <c r="K35" s="0" t="n">
        <f aca="false">IFERROR(__xludf.dummyfunction("""COMPUTED_VALUE"""),12)</f>
        <v>12</v>
      </c>
    </row>
    <row r="36" customFormat="false" ht="15.75" hidden="false" customHeight="false" outlineLevel="0" collapsed="false">
      <c r="A36" s="0" t="str">
        <f aca="false">IFERROR(__xludf.dummyfunction("""COMPUTED_VALUE"""),"Жигулина")</f>
        <v>Жигулина</v>
      </c>
      <c r="B36" s="0" t="str">
        <f aca="false">IFERROR(__xludf.dummyfunction("""COMPUTED_VALUE"""),"Виктория")</f>
        <v>Виктория</v>
      </c>
      <c r="C36" s="0" t="n">
        <f aca="false">IFERROR(__xludf.dummyfunction("""COMPUTED_VALUE"""),8)</f>
        <v>8</v>
      </c>
      <c r="D36" s="0" t="n">
        <f aca="false">IFERROR(__xludf.dummyfunction("""COMPUTED_VALUE"""),117)</f>
        <v>117</v>
      </c>
      <c r="E36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6" s="1" t="n">
        <f aca="false">TRUE()</f>
        <v>1</v>
      </c>
      <c r="G36" s="1" t="n">
        <f aca="false">TRUE()</f>
        <v>1</v>
      </c>
      <c r="H36" s="1" t="n">
        <f aca="false">FALSE()</f>
        <v>0</v>
      </c>
      <c r="I36" s="1" t="n">
        <f aca="false">TRUE()</f>
        <v>1</v>
      </c>
      <c r="J36" s="1" t="n">
        <f aca="false">TRUE()</f>
        <v>1</v>
      </c>
      <c r="K36" s="0" t="n">
        <f aca="false">IFERROR(__xludf.dummyfunction("""COMPUTED_VALUE"""),130)</f>
        <v>130</v>
      </c>
    </row>
    <row r="37" customFormat="false" ht="15.75" hidden="false" customHeight="false" outlineLevel="0" collapsed="false">
      <c r="A37" s="0" t="str">
        <f aca="false">IFERROR(__xludf.dummyfunction("""COMPUTED_VALUE"""),"Квинт")</f>
        <v>Квинт</v>
      </c>
      <c r="B37" s="0" t="str">
        <f aca="false">IFERROR(__xludf.dummyfunction("""COMPUTED_VALUE"""),"Элиас")</f>
        <v>Элиас</v>
      </c>
      <c r="C37" s="0" t="n">
        <f aca="false">IFERROR(__xludf.dummyfunction("""COMPUTED_VALUE"""),9)</f>
        <v>9</v>
      </c>
      <c r="D37" s="0" t="n">
        <f aca="false">IFERROR(__xludf.dummyfunction("""COMPUTED_VALUE"""),92)</f>
        <v>92</v>
      </c>
      <c r="E37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7" s="1" t="n">
        <f aca="false">FALSE()</f>
        <v>0</v>
      </c>
      <c r="G37" s="1" t="n">
        <f aca="false">FALSE()</f>
        <v>0</v>
      </c>
      <c r="H37" s="1" t="n">
        <f aca="false">FALSE()</f>
        <v>0</v>
      </c>
      <c r="I37" s="1" t="n">
        <f aca="false">FALSE()</f>
        <v>0</v>
      </c>
      <c r="J37" s="1" t="n">
        <f aca="false">FALSE()</f>
        <v>0</v>
      </c>
      <c r="K37" s="0" t="n">
        <f aca="false">IFERROR(__xludf.dummyfunction("""COMPUTED_VALUE"""),76)</f>
        <v>76</v>
      </c>
    </row>
    <row r="38" customFormat="false" ht="15.75" hidden="false" customHeight="false" outlineLevel="0" collapsed="false">
      <c r="A38" s="0" t="str">
        <f aca="false">IFERROR(__xludf.dummyfunction("""COMPUTED_VALUE"""),"Кокшарова")</f>
        <v>Кокшарова</v>
      </c>
      <c r="B38" s="0" t="str">
        <f aca="false">IFERROR(__xludf.dummyfunction("""COMPUTED_VALUE"""),"Мария")</f>
        <v>Мария</v>
      </c>
      <c r="C38" s="0" t="n">
        <f aca="false">IFERROR(__xludf.dummyfunction("""COMPUTED_VALUE"""),10)</f>
        <v>10</v>
      </c>
      <c r="D38" s="0" t="n">
        <f aca="false">IFERROR(__xludf.dummyfunction("""COMPUTED_VALUE"""),117)</f>
        <v>117</v>
      </c>
      <c r="E38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8" s="1" t="n">
        <f aca="false">FALSE()</f>
        <v>0</v>
      </c>
      <c r="G38" s="1" t="n">
        <f aca="false">TRUE()</f>
        <v>1</v>
      </c>
      <c r="H38" s="1" t="n">
        <f aca="false">FALSE()</f>
        <v>0</v>
      </c>
      <c r="I38" s="1" t="n">
        <f aca="false">FALSE()</f>
        <v>0</v>
      </c>
      <c r="J38" s="1" t="n">
        <f aca="false">FALSE()</f>
        <v>0</v>
      </c>
      <c r="K38" s="0" t="n">
        <f aca="false">IFERROR(__xludf.dummyfunction("""COMPUTED_VALUE"""),103)</f>
        <v>103</v>
      </c>
    </row>
    <row r="39" customFormat="false" ht="15.75" hidden="false" customHeight="false" outlineLevel="0" collapsed="false">
      <c r="A39" s="0" t="str">
        <f aca="false">IFERROR(__xludf.dummyfunction("""COMPUTED_VALUE"""),"Кузин ")</f>
        <v>Кузин</v>
      </c>
      <c r="B39" s="0" t="str">
        <f aca="false">IFERROR(__xludf.dummyfunction("""COMPUTED_VALUE"""),"Никита")</f>
        <v>Никита</v>
      </c>
      <c r="C39" s="0" t="n">
        <f aca="false">IFERROR(__xludf.dummyfunction("""COMPUTED_VALUE"""),11)</f>
        <v>11</v>
      </c>
      <c r="D39" s="0" t="n">
        <f aca="false">IFERROR(__xludf.dummyfunction("""COMPUTED_VALUE"""),149)</f>
        <v>149</v>
      </c>
      <c r="E39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39" s="1" t="n">
        <f aca="false">TRUE()</f>
        <v>1</v>
      </c>
      <c r="G39" s="1" t="n">
        <f aca="false">FALSE()</f>
        <v>0</v>
      </c>
      <c r="H39" s="1" t="n">
        <f aca="false">FALSE()</f>
        <v>0</v>
      </c>
      <c r="I39" s="1" t="n">
        <f aca="false">TRUE()</f>
        <v>1</v>
      </c>
      <c r="J39" s="1" t="n">
        <f aca="false">TRUE()</f>
        <v>1</v>
      </c>
      <c r="K39" s="0" t="n">
        <f aca="false">IFERROR(__xludf.dummyfunction("""COMPUTED_VALUE"""),46)</f>
        <v>46</v>
      </c>
    </row>
    <row r="40" customFormat="false" ht="15.75" hidden="false" customHeight="false" outlineLevel="0" collapsed="false">
      <c r="A40" s="0" t="str">
        <f aca="false">IFERROR(__xludf.dummyfunction("""COMPUTED_VALUE"""),"Лисина")</f>
        <v>Лисина</v>
      </c>
      <c r="B40" s="0" t="str">
        <f aca="false">IFERROR(__xludf.dummyfunction("""COMPUTED_VALUE"""),"Мария")</f>
        <v>Мария</v>
      </c>
      <c r="C40" s="0" t="n">
        <f aca="false">IFERROR(__xludf.dummyfunction("""COMPUTED_VALUE"""),10)</f>
        <v>10</v>
      </c>
      <c r="D40" s="0" t="n">
        <f aca="false">IFERROR(__xludf.dummyfunction("""COMPUTED_VALUE"""),150)</f>
        <v>150</v>
      </c>
      <c r="E40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0" s="1" t="n">
        <f aca="false">TRUE()</f>
        <v>1</v>
      </c>
      <c r="G40" s="1" t="n">
        <f aca="false">TRUE()</f>
        <v>1</v>
      </c>
      <c r="H40" s="1" t="n">
        <f aca="false">TRUE()</f>
        <v>1</v>
      </c>
      <c r="I40" s="1" t="n">
        <f aca="false">TRUE()</f>
        <v>1</v>
      </c>
      <c r="J40" s="1" t="n">
        <f aca="false">TRUE()</f>
        <v>1</v>
      </c>
      <c r="K40" s="0" t="n">
        <f aca="false">IFERROR(__xludf.dummyfunction("""COMPUTED_VALUE"""),121)</f>
        <v>121</v>
      </c>
    </row>
    <row r="41" customFormat="false" ht="15.75" hidden="false" customHeight="false" outlineLevel="0" collapsed="false">
      <c r="A41" s="0" t="str">
        <f aca="false">IFERROR(__xludf.dummyfunction("""COMPUTED_VALUE"""),"Логинов")</f>
        <v>Логинов</v>
      </c>
      <c r="B41" s="0" t="str">
        <f aca="false">IFERROR(__xludf.dummyfunction("""COMPUTED_VALUE"""),"Владислав")</f>
        <v>Владислав</v>
      </c>
      <c r="C41" s="0" t="n">
        <f aca="false">IFERROR(__xludf.dummyfunction("""COMPUTED_VALUE"""),7)</f>
        <v>7</v>
      </c>
      <c r="D41" s="0" t="n">
        <f aca="false">IFERROR(__xludf.dummyfunction("""COMPUTED_VALUE"""),117)</f>
        <v>117</v>
      </c>
      <c r="E41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1" s="1" t="n">
        <f aca="false">TRUE()</f>
        <v>1</v>
      </c>
      <c r="G41" s="1" t="n">
        <f aca="false">TRUE()</f>
        <v>1</v>
      </c>
      <c r="H41" s="1" t="n">
        <f aca="false">TRUE()</f>
        <v>1</v>
      </c>
      <c r="I41" s="1" t="n">
        <f aca="false">TRUE()</f>
        <v>1</v>
      </c>
      <c r="J41" s="1" t="n">
        <f aca="false">TRUE()</f>
        <v>1</v>
      </c>
      <c r="K41" s="0" t="n">
        <f aca="false">IFERROR(__xludf.dummyfunction("""COMPUTED_VALUE"""),95)</f>
        <v>95</v>
      </c>
    </row>
    <row r="42" customFormat="false" ht="15.75" hidden="false" customHeight="false" outlineLevel="0" collapsed="false">
      <c r="A42" s="0" t="str">
        <f aca="false">IFERROR(__xludf.dummyfunction("""COMPUTED_VALUE"""),"Локтева ")</f>
        <v>Локтева</v>
      </c>
      <c r="B42" s="0" t="str">
        <f aca="false">IFERROR(__xludf.dummyfunction("""COMPUTED_VALUE"""),"Полина ")</f>
        <v>Полина</v>
      </c>
      <c r="C42" s="0" t="n">
        <f aca="false">IFERROR(__xludf.dummyfunction("""COMPUTED_VALUE"""),10)</f>
        <v>10</v>
      </c>
      <c r="D42" s="0" t="n">
        <f aca="false">IFERROR(__xludf.dummyfunction("""COMPUTED_VALUE"""),26)</f>
        <v>26</v>
      </c>
      <c r="E42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2" s="1" t="n">
        <f aca="false">TRUE()</f>
        <v>1</v>
      </c>
      <c r="G42" s="1" t="n">
        <f aca="false">TRUE()</f>
        <v>1</v>
      </c>
      <c r="H42" s="1" t="n">
        <f aca="false">TRUE()</f>
        <v>1</v>
      </c>
      <c r="I42" s="1" t="n">
        <f aca="false">TRUE()</f>
        <v>1</v>
      </c>
      <c r="J42" s="1" t="n">
        <f aca="false">FALSE()</f>
        <v>0</v>
      </c>
      <c r="K42" s="0" t="n">
        <f aca="false">IFERROR(__xludf.dummyfunction("""COMPUTED_VALUE"""),28)</f>
        <v>28</v>
      </c>
    </row>
    <row r="43" customFormat="false" ht="15.75" hidden="false" customHeight="false" outlineLevel="0" collapsed="false">
      <c r="A43" s="0" t="str">
        <f aca="false">IFERROR(__xludf.dummyfunction("""COMPUTED_VALUE"""),"Михайленко")</f>
        <v>Михайленко</v>
      </c>
      <c r="B43" s="0" t="str">
        <f aca="false">IFERROR(__xludf.dummyfunction("""COMPUTED_VALUE"""),"Владимир")</f>
        <v>Владимир</v>
      </c>
      <c r="C43" s="0" t="n">
        <f aca="false">IFERROR(__xludf.dummyfunction("""COMPUTED_VALUE"""),7)</f>
        <v>7</v>
      </c>
      <c r="D43" s="0" t="n">
        <f aca="false">IFERROR(__xludf.dummyfunction("""COMPUTED_VALUE"""),25)</f>
        <v>25</v>
      </c>
      <c r="E43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3" s="1" t="n">
        <f aca="false">TRUE()</f>
        <v>1</v>
      </c>
      <c r="G43" s="1" t="n">
        <f aca="false">TRUE()</f>
        <v>1</v>
      </c>
      <c r="H43" s="1" t="n">
        <f aca="false">TRUE()</f>
        <v>1</v>
      </c>
      <c r="I43" s="1" t="n">
        <f aca="false">TRUE()</f>
        <v>1</v>
      </c>
      <c r="J43" s="1" t="n">
        <f aca="false">TRUE()</f>
        <v>1</v>
      </c>
      <c r="K43" s="0" t="n">
        <f aca="false">IFERROR(__xludf.dummyfunction("""COMPUTED_VALUE"""),104)</f>
        <v>104</v>
      </c>
    </row>
    <row r="44" customFormat="false" ht="15.75" hidden="false" customHeight="false" outlineLevel="0" collapsed="false">
      <c r="A44" s="0" t="str">
        <f aca="false">IFERROR(__xludf.dummyfunction("""COMPUTED_VALUE"""),"Моисеева")</f>
        <v>Моисеева</v>
      </c>
      <c r="B44" s="0" t="str">
        <f aca="false">IFERROR(__xludf.dummyfunction("""COMPUTED_VALUE"""),"Вероника")</f>
        <v>Вероника</v>
      </c>
      <c r="C44" s="0" t="n">
        <f aca="false">IFERROR(__xludf.dummyfunction("""COMPUTED_VALUE"""),9)</f>
        <v>9</v>
      </c>
      <c r="D44" s="0" t="n">
        <f aca="false">IFERROR(__xludf.dummyfunction("""COMPUTED_VALUE"""),117)</f>
        <v>117</v>
      </c>
      <c r="E44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4" s="1" t="n">
        <f aca="false">TRUE()</f>
        <v>1</v>
      </c>
      <c r="G44" s="1" t="n">
        <f aca="false">TRUE()</f>
        <v>1</v>
      </c>
      <c r="H44" s="1" t="n">
        <f aca="false">TRUE()</f>
        <v>1</v>
      </c>
      <c r="I44" s="1" t="n">
        <f aca="false">TRUE()</f>
        <v>1</v>
      </c>
      <c r="J44" s="1" t="n">
        <f aca="false">TRUE()</f>
        <v>1</v>
      </c>
      <c r="K44" s="0" t="n">
        <f aca="false">IFERROR(__xludf.dummyfunction("""COMPUTED_VALUE"""),91)</f>
        <v>91</v>
      </c>
    </row>
    <row r="45" customFormat="false" ht="15.75" hidden="false" customHeight="false" outlineLevel="0" collapsed="false">
      <c r="A45" s="0" t="str">
        <f aca="false">IFERROR(__xludf.dummyfunction("""COMPUTED_VALUE"""),"Мужева")</f>
        <v>Мужева</v>
      </c>
      <c r="B45" s="0" t="str">
        <f aca="false">IFERROR(__xludf.dummyfunction("""COMPUTED_VALUE"""),"Ксения")</f>
        <v>Ксения</v>
      </c>
      <c r="C45" s="0" t="n">
        <f aca="false">IFERROR(__xludf.dummyfunction("""COMPUTED_VALUE"""),10)</f>
        <v>10</v>
      </c>
      <c r="D45" s="0" t="n">
        <f aca="false">IFERROR(__xludf.dummyfunction("""COMPUTED_VALUE"""),166)</f>
        <v>166</v>
      </c>
      <c r="E45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5" s="1" t="n">
        <f aca="false">TRUE()</f>
        <v>1</v>
      </c>
      <c r="G45" s="1" t="n">
        <f aca="false">TRUE()</f>
        <v>1</v>
      </c>
      <c r="H45" s="1" t="n">
        <f aca="false">TRUE()</f>
        <v>1</v>
      </c>
      <c r="I45" s="1" t="n">
        <f aca="false">TRUE()</f>
        <v>1</v>
      </c>
      <c r="J45" s="1" t="n">
        <f aca="false">TRUE()</f>
        <v>1</v>
      </c>
      <c r="K45" s="0" t="n">
        <f aca="false">IFERROR(__xludf.dummyfunction("""COMPUTED_VALUE"""),66)</f>
        <v>66</v>
      </c>
    </row>
    <row r="46" customFormat="false" ht="15.75" hidden="false" customHeight="false" outlineLevel="0" collapsed="false">
      <c r="A46" s="0" t="str">
        <f aca="false">IFERROR(__xludf.dummyfunction("""COMPUTED_VALUE"""),"Мукушева")</f>
        <v>Мукушева</v>
      </c>
      <c r="B46" s="0" t="str">
        <f aca="false">IFERROR(__xludf.dummyfunction("""COMPUTED_VALUE"""),"Рамина")</f>
        <v>Рамина</v>
      </c>
      <c r="C46" s="0" t="n">
        <f aca="false">IFERROR(__xludf.dummyfunction("""COMPUTED_VALUE"""),8)</f>
        <v>8</v>
      </c>
      <c r="D46" s="0" t="n">
        <f aca="false">IFERROR(__xludf.dummyfunction("""COMPUTED_VALUE"""),146)</f>
        <v>146</v>
      </c>
      <c r="E46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6" s="1" t="n">
        <f aca="false">TRUE()</f>
        <v>1</v>
      </c>
      <c r="G46" s="1" t="n">
        <f aca="false">TRUE()</f>
        <v>1</v>
      </c>
      <c r="H46" s="1" t="n">
        <f aca="false">TRUE()</f>
        <v>1</v>
      </c>
      <c r="I46" s="1" t="n">
        <f aca="false">TRUE()</f>
        <v>1</v>
      </c>
      <c r="J46" s="1" t="n">
        <f aca="false">FALSE()</f>
        <v>0</v>
      </c>
      <c r="K46" s="0" t="n">
        <f aca="false">IFERROR(__xludf.dummyfunction("""COMPUTED_VALUE"""),145)</f>
        <v>145</v>
      </c>
    </row>
    <row r="47" customFormat="false" ht="15.75" hidden="false" customHeight="false" outlineLevel="0" collapsed="false">
      <c r="A47" s="0" t="str">
        <f aca="false">IFERROR(__xludf.dummyfunction("""COMPUTED_VALUE"""),"Муравьева")</f>
        <v>Муравьева</v>
      </c>
      <c r="B47" s="0" t="str">
        <f aca="false">IFERROR(__xludf.dummyfunction("""COMPUTED_VALUE"""),"Мария")</f>
        <v>Мария</v>
      </c>
      <c r="C47" s="0" t="n">
        <f aca="false">IFERROR(__xludf.dummyfunction("""COMPUTED_VALUE"""),10)</f>
        <v>10</v>
      </c>
      <c r="D47" s="0" t="n">
        <f aca="false">IFERROR(__xludf.dummyfunction("""COMPUTED_VALUE"""),117)</f>
        <v>117</v>
      </c>
      <c r="E47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7" s="1" t="n">
        <f aca="false">FALSE()</f>
        <v>0</v>
      </c>
      <c r="G47" s="1" t="n">
        <f aca="false">FALSE()</f>
        <v>0</v>
      </c>
      <c r="H47" s="1" t="n">
        <f aca="false">FALSE()</f>
        <v>0</v>
      </c>
      <c r="I47" s="1" t="n">
        <f aca="false">FALSE()</f>
        <v>0</v>
      </c>
      <c r="J47" s="1" t="n">
        <f aca="false">FALSE()</f>
        <v>0</v>
      </c>
      <c r="K47" s="0" t="n">
        <f aca="false">IFERROR(__xludf.dummyfunction("""COMPUTED_VALUE"""),88)</f>
        <v>88</v>
      </c>
    </row>
    <row r="48" customFormat="false" ht="15.75" hidden="false" customHeight="false" outlineLevel="0" collapsed="false">
      <c r="A48" s="0" t="str">
        <f aca="false">IFERROR(__xludf.dummyfunction("""COMPUTED_VALUE"""),"Назаренко")</f>
        <v>Назаренко</v>
      </c>
      <c r="B48" s="0" t="str">
        <f aca="false">IFERROR(__xludf.dummyfunction("""COMPUTED_VALUE"""),"Данила")</f>
        <v>Данила</v>
      </c>
      <c r="C48" s="0" t="n">
        <f aca="false">IFERROR(__xludf.dummyfunction("""COMPUTED_VALUE"""),9)</f>
        <v>9</v>
      </c>
      <c r="D48" s="0" t="n">
        <f aca="false">IFERROR(__xludf.dummyfunction("""COMPUTED_VALUE"""),75)</f>
        <v>75</v>
      </c>
      <c r="E48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8" s="1" t="n">
        <f aca="false">FALSE()</f>
        <v>0</v>
      </c>
      <c r="G48" s="1" t="n">
        <f aca="false">FALSE()</f>
        <v>0</v>
      </c>
      <c r="H48" s="1" t="n">
        <f aca="false">FALSE()</f>
        <v>0</v>
      </c>
      <c r="I48" s="1" t="n">
        <f aca="false">FALSE()</f>
        <v>0</v>
      </c>
      <c r="J48" s="1" t="n">
        <f aca="false">FALSE()</f>
        <v>0</v>
      </c>
      <c r="K48" s="0" t="n">
        <f aca="false">IFERROR(__xludf.dummyfunction("""COMPUTED_VALUE"""),110)</f>
        <v>110</v>
      </c>
    </row>
    <row r="49" customFormat="false" ht="15.75" hidden="false" customHeight="false" outlineLevel="0" collapsed="false">
      <c r="A49" s="0" t="str">
        <f aca="false">IFERROR(__xludf.dummyfunction("""COMPUTED_VALUE"""),"Николаев ")</f>
        <v>Николаев</v>
      </c>
      <c r="B49" s="0" t="str">
        <f aca="false">IFERROR(__xludf.dummyfunction("""COMPUTED_VALUE"""),"Сергей ")</f>
        <v>Сергей</v>
      </c>
      <c r="C49" s="0" t="n">
        <f aca="false">IFERROR(__xludf.dummyfunction("""COMPUTED_VALUE"""),8)</f>
        <v>8</v>
      </c>
      <c r="D49" s="0" t="n">
        <f aca="false">IFERROR(__xludf.dummyfunction("""COMPUTED_VALUE"""),146)</f>
        <v>146</v>
      </c>
      <c r="E49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49" s="1" t="n">
        <f aca="false">FALSE()</f>
        <v>0</v>
      </c>
      <c r="G49" s="1" t="n">
        <f aca="false">FALSE()</f>
        <v>0</v>
      </c>
      <c r="H49" s="1" t="n">
        <f aca="false">FALSE()</f>
        <v>0</v>
      </c>
      <c r="I49" s="1" t="n">
        <f aca="false">FALSE()</f>
        <v>0</v>
      </c>
      <c r="J49" s="1" t="n">
        <f aca="false">FALSE()</f>
        <v>0</v>
      </c>
      <c r="K49" s="0" t="n">
        <f aca="false">IFERROR(__xludf.dummyfunction("""COMPUTED_VALUE"""),127)</f>
        <v>127</v>
      </c>
    </row>
    <row r="50" customFormat="false" ht="15.75" hidden="false" customHeight="false" outlineLevel="0" collapsed="false">
      <c r="A50" s="0" t="str">
        <f aca="false">IFERROR(__xludf.dummyfunction("""COMPUTED_VALUE"""),"Петров")</f>
        <v>Петров</v>
      </c>
      <c r="B50" s="0" t="str">
        <f aca="false">IFERROR(__xludf.dummyfunction("""COMPUTED_VALUE"""),"Владимир")</f>
        <v>Владимир</v>
      </c>
      <c r="C50" s="0" t="n">
        <f aca="false">IFERROR(__xludf.dummyfunction("""COMPUTED_VALUE"""),8)</f>
        <v>8</v>
      </c>
      <c r="D50" s="0" t="n">
        <f aca="false">IFERROR(__xludf.dummyfunction("""COMPUTED_VALUE"""),117)</f>
        <v>117</v>
      </c>
      <c r="E50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50" s="1" t="n">
        <f aca="false">TRUE()</f>
        <v>1</v>
      </c>
      <c r="G50" s="1" t="n">
        <f aca="false">TRUE()</f>
        <v>1</v>
      </c>
      <c r="H50" s="1" t="n">
        <f aca="false">TRUE()</f>
        <v>1</v>
      </c>
      <c r="I50" s="1" t="n">
        <f aca="false">TRUE()</f>
        <v>1</v>
      </c>
      <c r="J50" s="1" t="n">
        <f aca="false">TRUE()</f>
        <v>1</v>
      </c>
      <c r="K50" s="0" t="n">
        <f aca="false">IFERROR(__xludf.dummyfunction("""COMPUTED_VALUE"""),118)</f>
        <v>118</v>
      </c>
    </row>
    <row r="51" customFormat="false" ht="15.75" hidden="false" customHeight="false" outlineLevel="0" collapsed="false">
      <c r="A51" s="0" t="str">
        <f aca="false">IFERROR(__xludf.dummyfunction("""COMPUTED_VALUE"""),"Сафронова")</f>
        <v>Сафронова</v>
      </c>
      <c r="B51" s="0" t="str">
        <f aca="false">IFERROR(__xludf.dummyfunction("""COMPUTED_VALUE"""),"Ирина")</f>
        <v>Ирина</v>
      </c>
      <c r="C51" s="0" t="n">
        <f aca="false">IFERROR(__xludf.dummyfunction("""COMPUTED_VALUE"""),10)</f>
        <v>10</v>
      </c>
      <c r="D51" s="0" t="n">
        <f aca="false">IFERROR(__xludf.dummyfunction("""COMPUTED_VALUE"""),26)</f>
        <v>26</v>
      </c>
      <c r="E51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51" s="1" t="n">
        <f aca="false">TRUE()</f>
        <v>1</v>
      </c>
      <c r="G51" s="1" t="n">
        <f aca="false">TRUE()</f>
        <v>1</v>
      </c>
      <c r="H51" s="1" t="n">
        <f aca="false">TRUE()</f>
        <v>1</v>
      </c>
      <c r="I51" s="1" t="n">
        <f aca="false">TRUE()</f>
        <v>1</v>
      </c>
      <c r="J51" s="1" t="n">
        <f aca="false">TRUE()</f>
        <v>1</v>
      </c>
      <c r="K51" s="0" t="n">
        <f aca="false">IFERROR(__xludf.dummyfunction("""COMPUTED_VALUE"""),116)</f>
        <v>116</v>
      </c>
    </row>
    <row r="52" customFormat="false" ht="15.75" hidden="false" customHeight="false" outlineLevel="0" collapsed="false">
      <c r="A52" s="0" t="str">
        <f aca="false">IFERROR(__xludf.dummyfunction("""COMPUTED_VALUE"""),"Тепляшина ")</f>
        <v>Тепляшина</v>
      </c>
      <c r="B52" s="0" t="str">
        <f aca="false">IFERROR(__xludf.dummyfunction("""COMPUTED_VALUE"""),"Анастасия ")</f>
        <v>Анастасия</v>
      </c>
      <c r="C52" s="0" t="n">
        <f aca="false">IFERROR(__xludf.dummyfunction("""COMPUTED_VALUE"""),9)</f>
        <v>9</v>
      </c>
      <c r="D52" s="0" t="n">
        <f aca="false">IFERROR(__xludf.dummyfunction("""COMPUTED_VALUE"""),139)</f>
        <v>139</v>
      </c>
      <c r="E52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52" s="1" t="n">
        <f aca="false">TRUE()</f>
        <v>1</v>
      </c>
      <c r="G52" s="1" t="n">
        <f aca="false">TRUE()</f>
        <v>1</v>
      </c>
      <c r="H52" s="1" t="n">
        <f aca="false">TRUE()</f>
        <v>1</v>
      </c>
      <c r="I52" s="1" t="n">
        <f aca="false">TRUE()</f>
        <v>1</v>
      </c>
      <c r="J52" s="1" t="n">
        <f aca="false">TRUE()</f>
        <v>1</v>
      </c>
      <c r="K52" s="0" t="n">
        <f aca="false">IFERROR(__xludf.dummyfunction("""COMPUTED_VALUE"""),27)</f>
        <v>27</v>
      </c>
    </row>
    <row r="53" customFormat="false" ht="15.75" hidden="false" customHeight="false" outlineLevel="0" collapsed="false">
      <c r="A53" s="0" t="str">
        <f aca="false">IFERROR(__xludf.dummyfunction("""COMPUTED_VALUE"""),"Усова")</f>
        <v>Усова</v>
      </c>
      <c r="B53" s="0" t="str">
        <f aca="false">IFERROR(__xludf.dummyfunction("""COMPUTED_VALUE"""),"Вероника")</f>
        <v>Вероника</v>
      </c>
      <c r="C53" s="0" t="n">
        <f aca="false">IFERROR(__xludf.dummyfunction("""COMPUTED_VALUE"""),7)</f>
        <v>7</v>
      </c>
      <c r="D53" s="0" t="n">
        <f aca="false">IFERROR(__xludf.dummyfunction("""COMPUTED_VALUE"""),117)</f>
        <v>117</v>
      </c>
      <c r="E53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53" s="1" t="n">
        <f aca="false">TRUE()</f>
        <v>1</v>
      </c>
      <c r="G53" s="1" t="n">
        <f aca="false">TRUE()</f>
        <v>1</v>
      </c>
      <c r="H53" s="1" t="n">
        <f aca="false">TRUE()</f>
        <v>1</v>
      </c>
      <c r="I53" s="1" t="n">
        <f aca="false">TRUE()</f>
        <v>1</v>
      </c>
      <c r="J53" s="1" t="n">
        <f aca="false">TRUE()</f>
        <v>1</v>
      </c>
      <c r="K53" s="0" t="n">
        <f aca="false">IFERROR(__xludf.dummyfunction("""COMPUTED_VALUE"""),4)</f>
        <v>4</v>
      </c>
    </row>
    <row r="54" customFormat="false" ht="15.75" hidden="false" customHeight="false" outlineLevel="0" collapsed="false">
      <c r="A54" s="0" t="str">
        <f aca="false">IFERROR(__xludf.dummyfunction("""COMPUTED_VALUE"""),"Шмалько")</f>
        <v>Шмалько</v>
      </c>
      <c r="B54" s="0" t="str">
        <f aca="false">IFERROR(__xludf.dummyfunction("""COMPUTED_VALUE"""),"Михаил")</f>
        <v>Михаил</v>
      </c>
      <c r="C54" s="0" t="n">
        <f aca="false">IFERROR(__xludf.dummyfunction("""COMPUTED_VALUE"""),9)</f>
        <v>9</v>
      </c>
      <c r="D54" s="0" t="n">
        <f aca="false">IFERROR(__xludf.dummyfunction("""COMPUTED_VALUE"""),117)</f>
        <v>117</v>
      </c>
      <c r="E54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54" s="1" t="n">
        <f aca="false">TRUE()</f>
        <v>1</v>
      </c>
      <c r="G54" s="1" t="n">
        <f aca="false">TRUE()</f>
        <v>1</v>
      </c>
      <c r="H54" s="1" t="n">
        <f aca="false">TRUE()</f>
        <v>1</v>
      </c>
      <c r="I54" s="1" t="n">
        <f aca="false">TRUE()</f>
        <v>1</v>
      </c>
      <c r="J54" s="1" t="n">
        <f aca="false">FALSE()</f>
        <v>0</v>
      </c>
      <c r="K54" s="0" t="n">
        <f aca="false">IFERROR(__xludf.dummyfunction("""COMPUTED_VALUE"""),31)</f>
        <v>31</v>
      </c>
    </row>
    <row r="55" customFormat="false" ht="15.75" hidden="false" customHeight="false" outlineLevel="0" collapsed="false">
      <c r="A55" s="0" t="str">
        <f aca="false">IFERROR(__xludf.dummyfunction("""COMPUTED_VALUE"""),"Яковлева")</f>
        <v>Яковлева</v>
      </c>
      <c r="B55" s="0" t="str">
        <f aca="false">IFERROR(__xludf.dummyfunction("""COMPUTED_VALUE"""),"Евгения")</f>
        <v>Евгения</v>
      </c>
      <c r="C55" s="0" t="n">
        <f aca="false">IFERROR(__xludf.dummyfunction("""COMPUTED_VALUE"""),10)</f>
        <v>10</v>
      </c>
      <c r="D55" s="0" t="n">
        <f aca="false">IFERROR(__xludf.dummyfunction("""COMPUTED_VALUE"""),166)</f>
        <v>166</v>
      </c>
      <c r="E55" s="12" t="str">
        <f aca="false">IFERROR(__xludf.dummyfunction("""COMPUTED_VALUE"""),"От демократии к национализму: все о национальных меньшинствах в правовых системах мира")</f>
        <v>От демократии к национализму: все о национальных меньшинствах в правовых системах мира</v>
      </c>
      <c r="F55" s="1" t="n">
        <f aca="false">TRUE()</f>
        <v>1</v>
      </c>
      <c r="G55" s="1" t="n">
        <f aca="false">TRUE()</f>
        <v>1</v>
      </c>
      <c r="H55" s="1" t="n">
        <f aca="false">TRUE()</f>
        <v>1</v>
      </c>
      <c r="I55" s="1" t="n">
        <f aca="false">TRUE()</f>
        <v>1</v>
      </c>
      <c r="J55" s="1" t="n">
        <f aca="false">TRUE()</f>
        <v>1</v>
      </c>
      <c r="K55" s="0" t="n">
        <f aca="false">IFERROR(__xludf.dummyfunction("""COMPUTED_VALUE"""),64)</f>
        <v>64</v>
      </c>
    </row>
    <row r="56" customFormat="false" ht="15.75" hidden="false" customHeight="false" outlineLevel="0" collapsed="false">
      <c r="A56" s="0" t="str">
        <f aca="false">IFERROR(__xludf.dummyfunction("""COMPUTED_VALUE"""),"Артамонов")</f>
        <v>Артамонов</v>
      </c>
      <c r="B56" s="0" t="str">
        <f aca="false">IFERROR(__xludf.dummyfunction("""COMPUTED_VALUE"""),"Виктор")</f>
        <v>Виктор</v>
      </c>
      <c r="C56" s="0" t="n">
        <f aca="false">IFERROR(__xludf.dummyfunction("""COMPUTED_VALUE"""),11)</f>
        <v>11</v>
      </c>
      <c r="D56" s="0" t="n">
        <f aca="false">IFERROR(__xludf.dummyfunction("""COMPUTED_VALUE"""),140)</f>
        <v>140</v>
      </c>
      <c r="E56" s="12" t="str">
        <f aca="false">IFERROR(__xludf.dummyfunction("""COMPUTED_VALUE"""),"Попробуй не сойти с ума")</f>
        <v>Попробуй не сойти с ума</v>
      </c>
      <c r="F56" s="1" t="n">
        <f aca="false">TRUE()</f>
        <v>1</v>
      </c>
      <c r="G56" s="1" t="n">
        <f aca="false">TRUE()</f>
        <v>1</v>
      </c>
      <c r="H56" s="1" t="n">
        <f aca="false">TRUE()</f>
        <v>1</v>
      </c>
      <c r="I56" s="1" t="n">
        <f aca="false">FALSE()</f>
        <v>0</v>
      </c>
      <c r="J56" s="1" t="n">
        <f aca="false">TRUE()</f>
        <v>1</v>
      </c>
      <c r="K56" s="0" t="n">
        <f aca="false">IFERROR(__xludf.dummyfunction("""COMPUTED_VALUE"""),173)</f>
        <v>173</v>
      </c>
    </row>
    <row r="57" customFormat="false" ht="15.75" hidden="false" customHeight="false" outlineLevel="0" collapsed="false">
      <c r="A57" s="0" t="str">
        <f aca="false">IFERROR(__xludf.dummyfunction("""COMPUTED_VALUE"""),"Асаинов")</f>
        <v>Асаинов</v>
      </c>
      <c r="B57" s="0" t="str">
        <f aca="false">IFERROR(__xludf.dummyfunction("""COMPUTED_VALUE"""),"Дарий")</f>
        <v>Дарий</v>
      </c>
      <c r="C57" s="0" t="n">
        <f aca="false">IFERROR(__xludf.dummyfunction("""COMPUTED_VALUE"""),10)</f>
        <v>10</v>
      </c>
      <c r="D57" s="0" t="n">
        <f aca="false">IFERROR(__xludf.dummyfunction("""COMPUTED_VALUE"""),64)</f>
        <v>64</v>
      </c>
      <c r="E57" s="12" t="str">
        <f aca="false">IFERROR(__xludf.dummyfunction("""COMPUTED_VALUE"""),"Попробуй не сойти с ума")</f>
        <v>Попробуй не сойти с ума</v>
      </c>
      <c r="F57" s="1" t="n">
        <f aca="false">TRUE()</f>
        <v>1</v>
      </c>
      <c r="G57" s="1" t="n">
        <f aca="false">TRUE()</f>
        <v>1</v>
      </c>
      <c r="H57" s="1" t="n">
        <f aca="false">FALSE()</f>
        <v>0</v>
      </c>
      <c r="I57" s="1" t="n">
        <f aca="false">TRUE()</f>
        <v>1</v>
      </c>
      <c r="J57" s="1" t="n">
        <f aca="false">TRUE()</f>
        <v>1</v>
      </c>
      <c r="K57" s="0" t="n">
        <f aca="false">IFERROR(__xludf.dummyfunction("""COMPUTED_VALUE"""),49)</f>
        <v>49</v>
      </c>
    </row>
    <row r="58" customFormat="false" ht="15.75" hidden="false" customHeight="false" outlineLevel="0" collapsed="false">
      <c r="A58" s="0" t="str">
        <f aca="false">IFERROR(__xludf.dummyfunction("""COMPUTED_VALUE"""),"Барнёва")</f>
        <v>Барнёва</v>
      </c>
      <c r="B58" s="0" t="str">
        <f aca="false">IFERROR(__xludf.dummyfunction("""COMPUTED_VALUE"""),"Софья")</f>
        <v>Софья</v>
      </c>
      <c r="C58" s="0" t="n">
        <f aca="false">IFERROR(__xludf.dummyfunction("""COMPUTED_VALUE"""),9)</f>
        <v>9</v>
      </c>
      <c r="D58" s="0" t="n">
        <f aca="false">IFERROR(__xludf.dummyfunction("""COMPUTED_VALUE"""),117)</f>
        <v>117</v>
      </c>
      <c r="E58" s="12" t="str">
        <f aca="false">IFERROR(__xludf.dummyfunction("""COMPUTED_VALUE"""),"Попробуй не сойти с ума")</f>
        <v>Попробуй не сойти с ума</v>
      </c>
      <c r="F58" s="1" t="n">
        <f aca="false">FALSE()</f>
        <v>0</v>
      </c>
      <c r="G58" s="1" t="n">
        <f aca="false">FALSE()</f>
        <v>0</v>
      </c>
      <c r="H58" s="1" t="n">
        <f aca="false">FALSE()</f>
        <v>0</v>
      </c>
      <c r="I58" s="1" t="n">
        <f aca="false">FALSE()</f>
        <v>0</v>
      </c>
      <c r="J58" s="1" t="n">
        <f aca="false">FALSE()</f>
        <v>0</v>
      </c>
      <c r="K58" s="0" t="n">
        <f aca="false">IFERROR(__xludf.dummyfunction("""COMPUTED_VALUE"""),22)</f>
        <v>22</v>
      </c>
    </row>
    <row r="59" customFormat="false" ht="15.75" hidden="false" customHeight="false" outlineLevel="0" collapsed="false">
      <c r="A59" s="0" t="str">
        <f aca="false">IFERROR(__xludf.dummyfunction("""COMPUTED_VALUE"""),"Бурляев")</f>
        <v>Бурляев</v>
      </c>
      <c r="B59" s="0" t="str">
        <f aca="false">IFERROR(__xludf.dummyfunction("""COMPUTED_VALUE"""),"Илья")</f>
        <v>Илья</v>
      </c>
      <c r="C59" s="0" t="n">
        <f aca="false">IFERROR(__xludf.dummyfunction("""COMPUTED_VALUE"""),8)</f>
        <v>8</v>
      </c>
      <c r="D59" s="0" t="n">
        <f aca="false">IFERROR(__xludf.dummyfunction("""COMPUTED_VALUE"""),117)</f>
        <v>117</v>
      </c>
      <c r="E59" s="12" t="str">
        <f aca="false">IFERROR(__xludf.dummyfunction("""COMPUTED_VALUE"""),"Попробуй не сойти с ума")</f>
        <v>Попробуй не сойти с ума</v>
      </c>
      <c r="F59" s="1" t="n">
        <f aca="false">FALSE()</f>
        <v>0</v>
      </c>
      <c r="G59" s="1" t="n">
        <f aca="false">FALSE()</f>
        <v>0</v>
      </c>
      <c r="H59" s="1" t="n">
        <f aca="false">FALSE()</f>
        <v>0</v>
      </c>
      <c r="I59" s="1" t="n">
        <f aca="false">FALSE()</f>
        <v>0</v>
      </c>
      <c r="J59" s="1" t="n">
        <f aca="false">FALSE()</f>
        <v>0</v>
      </c>
      <c r="K59" s="0" t="n">
        <f aca="false">IFERROR(__xludf.dummyfunction("""COMPUTED_VALUE"""),80)</f>
        <v>80</v>
      </c>
    </row>
    <row r="60" customFormat="false" ht="15.75" hidden="false" customHeight="false" outlineLevel="0" collapsed="false">
      <c r="A60" s="0" t="str">
        <f aca="false">IFERROR(__xludf.dummyfunction("""COMPUTED_VALUE"""),"Васильева")</f>
        <v>Васильева</v>
      </c>
      <c r="B60" s="0" t="str">
        <f aca="false">IFERROR(__xludf.dummyfunction("""COMPUTED_VALUE"""),"Мария ")</f>
        <v>Мария</v>
      </c>
      <c r="C60" s="0" t="n">
        <f aca="false">IFERROR(__xludf.dummyfunction("""COMPUTED_VALUE"""),10)</f>
        <v>10</v>
      </c>
      <c r="D60" s="0" t="n">
        <f aca="false">IFERROR(__xludf.dummyfunction("""COMPUTED_VALUE"""),117)</f>
        <v>117</v>
      </c>
      <c r="E60" s="12" t="str">
        <f aca="false">IFERROR(__xludf.dummyfunction("""COMPUTED_VALUE"""),"Попробуй не сойти с ума")</f>
        <v>Попробуй не сойти с ума</v>
      </c>
      <c r="F60" s="1" t="n">
        <f aca="false">FALSE()</f>
        <v>0</v>
      </c>
      <c r="G60" s="1" t="n">
        <f aca="false">TRUE()</f>
        <v>1</v>
      </c>
      <c r="H60" s="1" t="n">
        <f aca="false">FALSE()</f>
        <v>0</v>
      </c>
      <c r="I60" s="1" t="n">
        <f aca="false">TRUE()</f>
        <v>1</v>
      </c>
      <c r="J60" s="1" t="n">
        <f aca="false">FALSE()</f>
        <v>0</v>
      </c>
      <c r="K60" s="0" t="n">
        <f aca="false">IFERROR(__xludf.dummyfunction("""COMPUTED_VALUE"""),25)</f>
        <v>25</v>
      </c>
    </row>
    <row r="61" customFormat="false" ht="15.75" hidden="false" customHeight="false" outlineLevel="0" collapsed="false">
      <c r="A61" s="0" t="str">
        <f aca="false">IFERROR(__xludf.dummyfunction("""COMPUTED_VALUE"""),"Дизер")</f>
        <v>Дизер</v>
      </c>
      <c r="B61" s="0" t="str">
        <f aca="false">IFERROR(__xludf.dummyfunction("""COMPUTED_VALUE"""),"Валерия")</f>
        <v>Валерия</v>
      </c>
      <c r="C61" s="0" t="n">
        <f aca="false">IFERROR(__xludf.dummyfunction("""COMPUTED_VALUE"""),8)</f>
        <v>8</v>
      </c>
      <c r="D61" s="0" t="n">
        <f aca="false">IFERROR(__xludf.dummyfunction("""COMPUTED_VALUE"""),117)</f>
        <v>117</v>
      </c>
      <c r="E61" s="12" t="str">
        <f aca="false">IFERROR(__xludf.dummyfunction("""COMPUTED_VALUE"""),"Попробуй не сойти с ума")</f>
        <v>Попробуй не сойти с ума</v>
      </c>
      <c r="F61" s="1" t="n">
        <f aca="false">TRUE()</f>
        <v>1</v>
      </c>
      <c r="G61" s="1" t="n">
        <f aca="false">TRUE()</f>
        <v>1</v>
      </c>
      <c r="H61" s="1" t="n">
        <f aca="false">TRUE()</f>
        <v>1</v>
      </c>
      <c r="I61" s="1" t="n">
        <f aca="false">TRUE()</f>
        <v>1</v>
      </c>
      <c r="J61" s="1" t="n">
        <f aca="false">TRUE()</f>
        <v>1</v>
      </c>
      <c r="K61" s="0" t="n">
        <f aca="false">IFERROR(__xludf.dummyfunction("""COMPUTED_VALUE"""),38)</f>
        <v>38</v>
      </c>
    </row>
    <row r="62" customFormat="false" ht="15.75" hidden="false" customHeight="false" outlineLevel="0" collapsed="false">
      <c r="A62" s="0" t="str">
        <f aca="false">IFERROR(__xludf.dummyfunction("""COMPUTED_VALUE"""),"Дмитриева ")</f>
        <v>Дмитриева</v>
      </c>
      <c r="B62" s="0" t="str">
        <f aca="false">IFERROR(__xludf.dummyfunction("""COMPUTED_VALUE"""),"Елизавета ")</f>
        <v>Елизавета</v>
      </c>
      <c r="C62" s="0" t="n">
        <f aca="false">IFERROR(__xludf.dummyfunction("""COMPUTED_VALUE"""),9)</f>
        <v>9</v>
      </c>
      <c r="D62" s="0" t="n">
        <f aca="false">IFERROR(__xludf.dummyfunction("""COMPUTED_VALUE"""),139)</f>
        <v>139</v>
      </c>
      <c r="E62" s="12" t="str">
        <f aca="false">IFERROR(__xludf.dummyfunction("""COMPUTED_VALUE"""),"Попробуй не сойти с ума")</f>
        <v>Попробуй не сойти с ума</v>
      </c>
      <c r="F62" s="1" t="n">
        <f aca="false">TRUE()</f>
        <v>1</v>
      </c>
      <c r="G62" s="1" t="n">
        <f aca="false">TRUE()</f>
        <v>1</v>
      </c>
      <c r="H62" s="1" t="n">
        <f aca="false">TRUE()</f>
        <v>1</v>
      </c>
      <c r="I62" s="1" t="n">
        <f aca="false">TRUE()</f>
        <v>1</v>
      </c>
      <c r="J62" s="1" t="n">
        <f aca="false">TRUE()</f>
        <v>1</v>
      </c>
      <c r="K62" s="0" t="n">
        <f aca="false">IFERROR(__xludf.dummyfunction("""COMPUTED_VALUE"""),51)</f>
        <v>51</v>
      </c>
    </row>
    <row r="63" customFormat="false" ht="15.75" hidden="false" customHeight="false" outlineLevel="0" collapsed="false">
      <c r="A63" s="0" t="str">
        <f aca="false">IFERROR(__xludf.dummyfunction("""COMPUTED_VALUE"""),"Кузин")</f>
        <v>Кузин</v>
      </c>
      <c r="B63" s="0" t="str">
        <f aca="false">IFERROR(__xludf.dummyfunction("""COMPUTED_VALUE"""),"Илья")</f>
        <v>Илья</v>
      </c>
      <c r="C63" s="0" t="n">
        <f aca="false">IFERROR(__xludf.dummyfunction("""COMPUTED_VALUE"""),11)</f>
        <v>11</v>
      </c>
      <c r="D63" s="0" t="n">
        <f aca="false">IFERROR(__xludf.dummyfunction("""COMPUTED_VALUE"""),149)</f>
        <v>149</v>
      </c>
      <c r="E63" s="12" t="str">
        <f aca="false">IFERROR(__xludf.dummyfunction("""COMPUTED_VALUE"""),"Попробуй не сойти с ума")</f>
        <v>Попробуй не сойти с ума</v>
      </c>
      <c r="F63" s="1" t="n">
        <f aca="false">TRUE()</f>
        <v>1</v>
      </c>
      <c r="G63" s="1" t="n">
        <f aca="false">TRUE()</f>
        <v>1</v>
      </c>
      <c r="H63" s="1" t="n">
        <f aca="false">TRUE()</f>
        <v>1</v>
      </c>
      <c r="I63" s="1" t="n">
        <f aca="false">TRUE()</f>
        <v>1</v>
      </c>
      <c r="J63" s="1" t="n">
        <f aca="false">TRUE()</f>
        <v>1</v>
      </c>
      <c r="K63" s="0" t="n">
        <f aca="false">IFERROR(__xludf.dummyfunction("""COMPUTED_VALUE"""),54)</f>
        <v>54</v>
      </c>
    </row>
    <row r="64" customFormat="false" ht="15.75" hidden="false" customHeight="false" outlineLevel="0" collapsed="false">
      <c r="A64" s="0" t="str">
        <f aca="false">IFERROR(__xludf.dummyfunction("""COMPUTED_VALUE"""),"Куличенко ")</f>
        <v>Куличенко</v>
      </c>
      <c r="B64" s="0" t="str">
        <f aca="false">IFERROR(__xludf.dummyfunction("""COMPUTED_VALUE"""),"Катя")</f>
        <v>Катя</v>
      </c>
      <c r="C64" s="0" t="n">
        <f aca="false">IFERROR(__xludf.dummyfunction("""COMPUTED_VALUE"""),8)</f>
        <v>8</v>
      </c>
      <c r="D64" s="0" t="n">
        <f aca="false">IFERROR(__xludf.dummyfunction("""COMPUTED_VALUE"""),117)</f>
        <v>117</v>
      </c>
      <c r="E64" s="12" t="str">
        <f aca="false">IFERROR(__xludf.dummyfunction("""COMPUTED_VALUE"""),"Попробуй не сойти с ума")</f>
        <v>Попробуй не сойти с ума</v>
      </c>
      <c r="F64" s="1" t="n">
        <f aca="false">TRUE()</f>
        <v>1</v>
      </c>
      <c r="G64" s="1" t="n">
        <f aca="false">TRUE()</f>
        <v>1</v>
      </c>
      <c r="H64" s="1" t="n">
        <f aca="false">TRUE()</f>
        <v>1</v>
      </c>
      <c r="I64" s="1" t="n">
        <f aca="false">TRUE()</f>
        <v>1</v>
      </c>
      <c r="J64" s="1" t="n">
        <f aca="false">TRUE()</f>
        <v>1</v>
      </c>
      <c r="K64" s="0" t="n">
        <f aca="false">IFERROR(__xludf.dummyfunction("""COMPUTED_VALUE"""),13)</f>
        <v>13</v>
      </c>
    </row>
    <row r="65" customFormat="false" ht="15.75" hidden="false" customHeight="false" outlineLevel="0" collapsed="false">
      <c r="A65" s="0" t="str">
        <f aca="false">IFERROR(__xludf.dummyfunction("""COMPUTED_VALUE"""),"Лапаницына")</f>
        <v>Лапаницына</v>
      </c>
      <c r="B65" s="0" t="str">
        <f aca="false">IFERROR(__xludf.dummyfunction("""COMPUTED_VALUE"""),"Анна")</f>
        <v>Анна</v>
      </c>
      <c r="C65" s="0" t="n">
        <f aca="false">IFERROR(__xludf.dummyfunction("""COMPUTED_VALUE"""),8)</f>
        <v>8</v>
      </c>
      <c r="D65" s="0" t="n">
        <f aca="false">IFERROR(__xludf.dummyfunction("""COMPUTED_VALUE"""),137)</f>
        <v>137</v>
      </c>
      <c r="E65" s="12" t="str">
        <f aca="false">IFERROR(__xludf.dummyfunction("""COMPUTED_VALUE"""),"Попробуй не сойти с ума")</f>
        <v>Попробуй не сойти с ума</v>
      </c>
      <c r="F65" s="1" t="n">
        <f aca="false">TRUE()</f>
        <v>1</v>
      </c>
      <c r="G65" s="1" t="n">
        <f aca="false">TRUE()</f>
        <v>1</v>
      </c>
      <c r="H65" s="1" t="n">
        <f aca="false">TRUE()</f>
        <v>1</v>
      </c>
      <c r="I65" s="1" t="n">
        <f aca="false">TRUE()</f>
        <v>1</v>
      </c>
      <c r="J65" s="1" t="n">
        <f aca="false">TRUE()</f>
        <v>1</v>
      </c>
      <c r="K65" s="0" t="n">
        <f aca="false">IFERROR(__xludf.dummyfunction("""COMPUTED_VALUE"""),100)</f>
        <v>100</v>
      </c>
    </row>
    <row r="66" customFormat="false" ht="15.75" hidden="false" customHeight="false" outlineLevel="0" collapsed="false">
      <c r="A66" s="0" t="str">
        <f aca="false">IFERROR(__xludf.dummyfunction("""COMPUTED_VALUE"""),"Линкер")</f>
        <v>Линкер</v>
      </c>
      <c r="B66" s="0" t="str">
        <f aca="false">IFERROR(__xludf.dummyfunction("""COMPUTED_VALUE"""),"Екатерина")</f>
        <v>Екатерина</v>
      </c>
      <c r="C66" s="0" t="n">
        <f aca="false">IFERROR(__xludf.dummyfunction("""COMPUTED_VALUE"""),8)</f>
        <v>8</v>
      </c>
      <c r="D66" s="0" t="n">
        <f aca="false">IFERROR(__xludf.dummyfunction("""COMPUTED_VALUE"""),137)</f>
        <v>137</v>
      </c>
      <c r="E66" s="12" t="str">
        <f aca="false">IFERROR(__xludf.dummyfunction("""COMPUTED_VALUE"""),"Попробуй не сойти с ума")</f>
        <v>Попробуй не сойти с ума</v>
      </c>
      <c r="F66" s="1" t="n">
        <f aca="false">TRUE()</f>
        <v>1</v>
      </c>
      <c r="G66" s="1" t="n">
        <f aca="false">TRUE()</f>
        <v>1</v>
      </c>
      <c r="H66" s="1" t="n">
        <f aca="false">TRUE()</f>
        <v>1</v>
      </c>
      <c r="I66" s="1" t="n">
        <f aca="false">TRUE()</f>
        <v>1</v>
      </c>
      <c r="J66" s="1" t="n">
        <f aca="false">TRUE()</f>
        <v>1</v>
      </c>
      <c r="K66" s="0" t="n">
        <f aca="false">IFERROR(__xludf.dummyfunction("""COMPUTED_VALUE"""),101)</f>
        <v>101</v>
      </c>
    </row>
    <row r="67" customFormat="false" ht="15.75" hidden="false" customHeight="false" outlineLevel="0" collapsed="false">
      <c r="A67" s="0" t="str">
        <f aca="false">IFERROR(__xludf.dummyfunction("""COMPUTED_VALUE"""),"Макарова")</f>
        <v>Макарова</v>
      </c>
      <c r="B67" s="0" t="str">
        <f aca="false">IFERROR(__xludf.dummyfunction("""COMPUTED_VALUE"""),"Елизавета")</f>
        <v>Елизавета</v>
      </c>
      <c r="C67" s="0" t="n">
        <f aca="false">IFERROR(__xludf.dummyfunction("""COMPUTED_VALUE"""),9)</f>
        <v>9</v>
      </c>
      <c r="D67" s="0" t="n">
        <f aca="false">IFERROR(__xludf.dummyfunction("""COMPUTED_VALUE"""),74)</f>
        <v>74</v>
      </c>
      <c r="E67" s="12" t="str">
        <f aca="false">IFERROR(__xludf.dummyfunction("""COMPUTED_VALUE"""),"Попробуй не сойти с ума")</f>
        <v>Попробуй не сойти с ума</v>
      </c>
      <c r="F67" s="1" t="n">
        <f aca="false">TRUE()</f>
        <v>1</v>
      </c>
      <c r="G67" s="1" t="n">
        <f aca="false">TRUE()</f>
        <v>1</v>
      </c>
      <c r="H67" s="1" t="n">
        <f aca="false">TRUE()</f>
        <v>1</v>
      </c>
      <c r="I67" s="1" t="n">
        <f aca="false">TRUE()</f>
        <v>1</v>
      </c>
      <c r="J67" s="1" t="n">
        <f aca="false">TRUE()</f>
        <v>1</v>
      </c>
      <c r="K67" s="0" t="n">
        <f aca="false">IFERROR(__xludf.dummyfunction("""COMPUTED_VALUE"""),36)</f>
        <v>36</v>
      </c>
    </row>
    <row r="68" customFormat="false" ht="15.75" hidden="false" customHeight="false" outlineLevel="0" collapsed="false">
      <c r="A68" s="0" t="str">
        <f aca="false">IFERROR(__xludf.dummyfunction("""COMPUTED_VALUE"""),"Недобойко")</f>
        <v>Недобойко</v>
      </c>
      <c r="B68" s="0" t="str">
        <f aca="false">IFERROR(__xludf.dummyfunction("""COMPUTED_VALUE"""),"Полина ")</f>
        <v>Полина</v>
      </c>
      <c r="C68" s="0" t="n">
        <f aca="false">IFERROR(__xludf.dummyfunction("""COMPUTED_VALUE"""),9)</f>
        <v>9</v>
      </c>
      <c r="D68" s="0" t="n">
        <f aca="false">IFERROR(__xludf.dummyfunction("""COMPUTED_VALUE"""),117)</f>
        <v>117</v>
      </c>
      <c r="E68" s="12" t="str">
        <f aca="false">IFERROR(__xludf.dummyfunction("""COMPUTED_VALUE"""),"Попробуй не сойти с ума")</f>
        <v>Попробуй не сойти с ума</v>
      </c>
      <c r="F68" s="1" t="n">
        <f aca="false">TRUE()</f>
        <v>1</v>
      </c>
      <c r="G68" s="1" t="n">
        <f aca="false">TRUE()</f>
        <v>1</v>
      </c>
      <c r="H68" s="1" t="n">
        <f aca="false">FALSE()</f>
        <v>0</v>
      </c>
      <c r="I68" s="1" t="n">
        <f aca="false">TRUE()</f>
        <v>1</v>
      </c>
      <c r="J68" s="1" t="n">
        <f aca="false">TRUE()</f>
        <v>1</v>
      </c>
      <c r="K68" s="0" t="n">
        <f aca="false">IFERROR(__xludf.dummyfunction("""COMPUTED_VALUE"""),21)</f>
        <v>21</v>
      </c>
    </row>
    <row r="69" customFormat="false" ht="15.75" hidden="false" customHeight="false" outlineLevel="0" collapsed="false">
      <c r="A69" s="0" t="str">
        <f aca="false">IFERROR(__xludf.dummyfunction("""COMPUTED_VALUE"""),"Проворкина")</f>
        <v>Проворкина</v>
      </c>
      <c r="B69" s="0" t="str">
        <f aca="false">IFERROR(__xludf.dummyfunction("""COMPUTED_VALUE"""),"Анастасия")</f>
        <v>Анастасия</v>
      </c>
      <c r="C69" s="0" t="n">
        <f aca="false">IFERROR(__xludf.dummyfunction("""COMPUTED_VALUE"""),10)</f>
        <v>10</v>
      </c>
      <c r="D69" s="0" t="n">
        <f aca="false">IFERROR(__xludf.dummyfunction("""COMPUTED_VALUE"""),142)</f>
        <v>142</v>
      </c>
      <c r="E69" s="12" t="str">
        <f aca="false">IFERROR(__xludf.dummyfunction("""COMPUTED_VALUE"""),"Попробуй не сойти с ума")</f>
        <v>Попробуй не сойти с ума</v>
      </c>
      <c r="F69" s="1" t="n">
        <f aca="false">TRUE()</f>
        <v>1</v>
      </c>
      <c r="G69" s="1" t="n">
        <f aca="false">TRUE()</f>
        <v>1</v>
      </c>
      <c r="H69" s="1" t="n">
        <f aca="false">TRUE()</f>
        <v>1</v>
      </c>
      <c r="I69" s="1" t="n">
        <f aca="false">TRUE()</f>
        <v>1</v>
      </c>
      <c r="J69" s="1" t="n">
        <f aca="false">TRUE()</f>
        <v>1</v>
      </c>
      <c r="K69" s="0" t="n">
        <f aca="false">IFERROR(__xludf.dummyfunction("""COMPUTED_VALUE"""),85)</f>
        <v>85</v>
      </c>
    </row>
    <row r="70" customFormat="false" ht="15.75" hidden="false" customHeight="false" outlineLevel="0" collapsed="false">
      <c r="A70" s="0" t="str">
        <f aca="false">IFERROR(__xludf.dummyfunction("""COMPUTED_VALUE"""),"Семёнова")</f>
        <v>Семёнова</v>
      </c>
      <c r="B70" s="0" t="str">
        <f aca="false">IFERROR(__xludf.dummyfunction("""COMPUTED_VALUE"""),"Анастасия")</f>
        <v>Анастасия</v>
      </c>
      <c r="C70" s="0" t="n">
        <f aca="false">IFERROR(__xludf.dummyfunction("""COMPUTED_VALUE"""),8)</f>
        <v>8</v>
      </c>
      <c r="D70" s="0" t="n">
        <f aca="false">IFERROR(__xludf.dummyfunction("""COMPUTED_VALUE"""),63)</f>
        <v>63</v>
      </c>
      <c r="E70" s="12" t="str">
        <f aca="false">IFERROR(__xludf.dummyfunction("""COMPUTED_VALUE"""),"Попробуй не сойти с ума")</f>
        <v>Попробуй не сойти с ума</v>
      </c>
      <c r="F70" s="1" t="n">
        <f aca="false">TRUE()</f>
        <v>1</v>
      </c>
      <c r="G70" s="1" t="n">
        <f aca="false">TRUE()</f>
        <v>1</v>
      </c>
      <c r="H70" s="1" t="n">
        <f aca="false">FALSE()</f>
        <v>0</v>
      </c>
      <c r="I70" s="1" t="n">
        <f aca="false">FALSE()</f>
        <v>0</v>
      </c>
      <c r="J70" s="1" t="n">
        <f aca="false">TRUE()</f>
        <v>1</v>
      </c>
      <c r="K70" s="0" t="n">
        <f aca="false">IFERROR(__xludf.dummyfunction("""COMPUTED_VALUE"""),163)</f>
        <v>163</v>
      </c>
    </row>
    <row r="71" customFormat="false" ht="15.75" hidden="false" customHeight="false" outlineLevel="0" collapsed="false">
      <c r="A71" s="0" t="str">
        <f aca="false">IFERROR(__xludf.dummyfunction("""COMPUTED_VALUE"""),"Сидоров")</f>
        <v>Сидоров</v>
      </c>
      <c r="B71" s="0" t="str">
        <f aca="false">IFERROR(__xludf.dummyfunction("""COMPUTED_VALUE"""),"Никита")</f>
        <v>Никита</v>
      </c>
      <c r="C71" s="0" t="n">
        <f aca="false">IFERROR(__xludf.dummyfunction("""COMPUTED_VALUE"""),8)</f>
        <v>8</v>
      </c>
      <c r="D71" s="0" t="n">
        <f aca="false">IFERROR(__xludf.dummyfunction("""COMPUTED_VALUE"""),117)</f>
        <v>117</v>
      </c>
      <c r="E71" s="12" t="str">
        <f aca="false">IFERROR(__xludf.dummyfunction("""COMPUTED_VALUE"""),"Попробуй не сойти с ума")</f>
        <v>Попробуй не сойти с ума</v>
      </c>
      <c r="F71" s="1" t="n">
        <f aca="false">TRUE()</f>
        <v>1</v>
      </c>
      <c r="G71" s="1" t="n">
        <f aca="false">TRUE()</f>
        <v>1</v>
      </c>
      <c r="H71" s="1" t="n">
        <f aca="false">TRUE()</f>
        <v>1</v>
      </c>
      <c r="I71" s="1" t="n">
        <f aca="false">TRUE()</f>
        <v>1</v>
      </c>
      <c r="J71" s="1" t="n">
        <f aca="false">TRUE()</f>
        <v>1</v>
      </c>
      <c r="K71" s="0" t="n">
        <f aca="false">IFERROR(__xludf.dummyfunction("""COMPUTED_VALUE"""),70)</f>
        <v>70</v>
      </c>
    </row>
    <row r="72" customFormat="false" ht="15.75" hidden="false" customHeight="false" outlineLevel="0" collapsed="false">
      <c r="A72" s="0" t="str">
        <f aca="false">IFERROR(__xludf.dummyfunction("""COMPUTED_VALUE"""),"Скрипкина")</f>
        <v>Скрипкина</v>
      </c>
      <c r="B72" s="0" t="str">
        <f aca="false">IFERROR(__xludf.dummyfunction("""COMPUTED_VALUE"""),"Вика")</f>
        <v>Вика</v>
      </c>
      <c r="C72" s="0" t="n">
        <f aca="false">IFERROR(__xludf.dummyfunction("""COMPUTED_VALUE"""),8)</f>
        <v>8</v>
      </c>
      <c r="D72" s="0" t="n">
        <f aca="false">IFERROR(__xludf.dummyfunction("""COMPUTED_VALUE"""),166)</f>
        <v>166</v>
      </c>
      <c r="E72" s="12" t="str">
        <f aca="false">IFERROR(__xludf.dummyfunction("""COMPUTED_VALUE"""),"Попробуй не сойти с ума")</f>
        <v>Попробуй не сойти с ума</v>
      </c>
      <c r="F72" s="1" t="n">
        <f aca="false">TRUE()</f>
        <v>1</v>
      </c>
      <c r="G72" s="1" t="n">
        <f aca="false">TRUE()</f>
        <v>1</v>
      </c>
      <c r="H72" s="1" t="n">
        <f aca="false">TRUE()</f>
        <v>1</v>
      </c>
      <c r="I72" s="1" t="n">
        <f aca="false">TRUE()</f>
        <v>1</v>
      </c>
      <c r="J72" s="1" t="n">
        <f aca="false">TRUE()</f>
        <v>1</v>
      </c>
      <c r="K72" s="0" t="n">
        <f aca="false">IFERROR(__xludf.dummyfunction("""COMPUTED_VALUE"""),20)</f>
        <v>20</v>
      </c>
    </row>
    <row r="73" customFormat="false" ht="15.75" hidden="false" customHeight="false" outlineLevel="0" collapsed="false">
      <c r="A73" s="0" t="str">
        <f aca="false">IFERROR(__xludf.dummyfunction("""COMPUTED_VALUE"""),"таранова")</f>
        <v>таранова</v>
      </c>
      <c r="B73" s="0" t="str">
        <f aca="false">IFERROR(__xludf.dummyfunction("""COMPUTED_VALUE"""),"екатерина")</f>
        <v>екатерина</v>
      </c>
      <c r="C73" s="0" t="n">
        <f aca="false">IFERROR(__xludf.dummyfunction("""COMPUTED_VALUE"""),9)</f>
        <v>9</v>
      </c>
      <c r="D73" s="0" t="n">
        <f aca="false">IFERROR(__xludf.dummyfunction("""COMPUTED_VALUE"""),7)</f>
        <v>7</v>
      </c>
      <c r="E73" s="12" t="str">
        <f aca="false">IFERROR(__xludf.dummyfunction("""COMPUTED_VALUE"""),"Попробуй не сойти с ума")</f>
        <v>Попробуй не сойти с ума</v>
      </c>
      <c r="F73" s="1" t="n">
        <f aca="false">TRUE()</f>
        <v>1</v>
      </c>
      <c r="G73" s="1" t="n">
        <f aca="false">TRUE()</f>
        <v>1</v>
      </c>
      <c r="H73" s="1" t="n">
        <f aca="false">TRUE()</f>
        <v>1</v>
      </c>
      <c r="I73" s="1" t="n">
        <f aca="false">TRUE()</f>
        <v>1</v>
      </c>
      <c r="J73" s="1" t="n">
        <f aca="false">TRUE()</f>
        <v>1</v>
      </c>
      <c r="K73" s="0" t="n">
        <f aca="false">IFERROR(__xludf.dummyfunction("""COMPUTED_VALUE"""),15)</f>
        <v>15</v>
      </c>
    </row>
    <row r="74" customFormat="false" ht="15.75" hidden="false" customHeight="false" outlineLevel="0" collapsed="false">
      <c r="A74" s="0" t="str">
        <f aca="false">IFERROR(__xludf.dummyfunction("""COMPUTED_VALUE"""),"Терехова")</f>
        <v>Терехова</v>
      </c>
      <c r="B74" s="0" t="str">
        <f aca="false">IFERROR(__xludf.dummyfunction("""COMPUTED_VALUE"""),"Мария")</f>
        <v>Мария</v>
      </c>
      <c r="C74" s="0" t="n">
        <f aca="false">IFERROR(__xludf.dummyfunction("""COMPUTED_VALUE"""),9)</f>
        <v>9</v>
      </c>
      <c r="D74" s="0" t="n">
        <f aca="false">IFERROR(__xludf.dummyfunction("""COMPUTED_VALUE"""),139)</f>
        <v>139</v>
      </c>
      <c r="E74" s="12" t="str">
        <f aca="false">IFERROR(__xludf.dummyfunction("""COMPUTED_VALUE"""),"Попробуй не сойти с ума")</f>
        <v>Попробуй не сойти с ума</v>
      </c>
      <c r="F74" s="1" t="n">
        <f aca="false">TRUE()</f>
        <v>1</v>
      </c>
      <c r="G74" s="1" t="n">
        <f aca="false">TRUE()</f>
        <v>1</v>
      </c>
      <c r="H74" s="1" t="n">
        <f aca="false">TRUE()</f>
        <v>1</v>
      </c>
      <c r="I74" s="1" t="n">
        <f aca="false">TRUE()</f>
        <v>1</v>
      </c>
      <c r="J74" s="1" t="n">
        <f aca="false">TRUE()</f>
        <v>1</v>
      </c>
      <c r="K74" s="0" t="n">
        <f aca="false">IFERROR(__xludf.dummyfunction("""COMPUTED_VALUE"""),48)</f>
        <v>48</v>
      </c>
    </row>
    <row r="75" customFormat="false" ht="15.75" hidden="false" customHeight="false" outlineLevel="0" collapsed="false">
      <c r="A75" s="0" t="str">
        <f aca="false">IFERROR(__xludf.dummyfunction("""COMPUTED_VALUE"""),"Удовиченко ")</f>
        <v>Удовиченко</v>
      </c>
      <c r="B75" s="0" t="str">
        <f aca="false">IFERROR(__xludf.dummyfunction("""COMPUTED_VALUE"""),"Вероника")</f>
        <v>Вероника</v>
      </c>
      <c r="C75" s="0" t="n">
        <f aca="false">IFERROR(__xludf.dummyfunction("""COMPUTED_VALUE"""),8)</f>
        <v>8</v>
      </c>
      <c r="D75" s="0" t="n">
        <f aca="false">IFERROR(__xludf.dummyfunction("""COMPUTED_VALUE"""),117)</f>
        <v>117</v>
      </c>
      <c r="E75" s="12" t="str">
        <f aca="false">IFERROR(__xludf.dummyfunction("""COMPUTED_VALUE"""),"Попробуй не сойти с ума")</f>
        <v>Попробуй не сойти с ума</v>
      </c>
      <c r="F75" s="1" t="n">
        <f aca="false">TRUE()</f>
        <v>1</v>
      </c>
      <c r="G75" s="1" t="n">
        <f aca="false">TRUE()</f>
        <v>1</v>
      </c>
      <c r="H75" s="1" t="n">
        <f aca="false">TRUE()</f>
        <v>1</v>
      </c>
      <c r="I75" s="1" t="n">
        <f aca="false">TRUE()</f>
        <v>1</v>
      </c>
      <c r="J75" s="1" t="n">
        <f aca="false">TRUE()</f>
        <v>1</v>
      </c>
      <c r="K75" s="0" t="n">
        <f aca="false">IFERROR(__xludf.dummyfunction("""COMPUTED_VALUE"""),30)</f>
        <v>30</v>
      </c>
    </row>
    <row r="76" customFormat="false" ht="15.75" hidden="false" customHeight="false" outlineLevel="0" collapsed="false">
      <c r="A76" s="0" t="str">
        <f aca="false">IFERROR(__xludf.dummyfunction("""COMPUTED_VALUE"""),"Ходарина")</f>
        <v>Ходарина</v>
      </c>
      <c r="B76" s="0" t="str">
        <f aca="false">IFERROR(__xludf.dummyfunction("""COMPUTED_VALUE"""),"Алина")</f>
        <v>Алина</v>
      </c>
      <c r="C76" s="0" t="n">
        <f aca="false">IFERROR(__xludf.dummyfunction("""COMPUTED_VALUE"""),11)</f>
        <v>11</v>
      </c>
      <c r="D76" s="0" t="n">
        <f aca="false">IFERROR(__xludf.dummyfunction("""COMPUTED_VALUE"""),149)</f>
        <v>149</v>
      </c>
      <c r="E76" s="12" t="str">
        <f aca="false">IFERROR(__xludf.dummyfunction("""COMPUTED_VALUE"""),"Попробуй не сойти с ума")</f>
        <v>Попробуй не сойти с ума</v>
      </c>
      <c r="F76" s="1" t="n">
        <f aca="false">TRUE()</f>
        <v>1</v>
      </c>
      <c r="G76" s="1" t="n">
        <f aca="false">FALSE()</f>
        <v>0</v>
      </c>
      <c r="H76" s="1" t="n">
        <f aca="false">FALSE()</f>
        <v>0</v>
      </c>
      <c r="I76" s="1" t="n">
        <f aca="false">TRUE()</f>
        <v>1</v>
      </c>
      <c r="J76" s="1" t="n">
        <f aca="false">FALSE()</f>
        <v>0</v>
      </c>
      <c r="K76" s="0" t="n">
        <f aca="false">IFERROR(__xludf.dummyfunction("""COMPUTED_VALUE"""),94)</f>
        <v>94</v>
      </c>
    </row>
    <row r="77" customFormat="false" ht="15.75" hidden="false" customHeight="false" outlineLevel="0" collapsed="false">
      <c r="A77" s="0" t="str">
        <f aca="false">IFERROR(__xludf.dummyfunction("""COMPUTED_VALUE"""),"Хохлов ")</f>
        <v>Хохлов</v>
      </c>
      <c r="B77" s="0" t="str">
        <f aca="false">IFERROR(__xludf.dummyfunction("""COMPUTED_VALUE"""),"Александр")</f>
        <v>Александр</v>
      </c>
      <c r="C77" s="0" t="n">
        <f aca="false">IFERROR(__xludf.dummyfunction("""COMPUTED_VALUE"""),8)</f>
        <v>8</v>
      </c>
      <c r="D77" s="0" t="n">
        <f aca="false">IFERROR(__xludf.dummyfunction("""COMPUTED_VALUE"""),117)</f>
        <v>117</v>
      </c>
      <c r="E77" s="12" t="str">
        <f aca="false">IFERROR(__xludf.dummyfunction("""COMPUTED_VALUE"""),"Попробуй не сойти с ума")</f>
        <v>Попробуй не сойти с ума</v>
      </c>
      <c r="F77" s="1" t="n">
        <f aca="false">TRUE()</f>
        <v>1</v>
      </c>
      <c r="G77" s="1" t="n">
        <f aca="false">TRUE()</f>
        <v>1</v>
      </c>
      <c r="H77" s="1" t="n">
        <f aca="false">TRUE()</f>
        <v>1</v>
      </c>
      <c r="I77" s="1" t="n">
        <f aca="false">TRUE()</f>
        <v>1</v>
      </c>
      <c r="J77" s="1" t="n">
        <f aca="false">TRUE()</f>
        <v>1</v>
      </c>
      <c r="K77" s="0" t="n">
        <f aca="false">IFERROR(__xludf.dummyfunction("""COMPUTED_VALUE"""),87)</f>
        <v>87</v>
      </c>
    </row>
    <row r="78" customFormat="false" ht="15.75" hidden="false" customHeight="false" outlineLevel="0" collapsed="false">
      <c r="A78" s="0" t="str">
        <f aca="false">IFERROR(__xludf.dummyfunction("""COMPUTED_VALUE"""),"Шадёркина")</f>
        <v>Шадёркина</v>
      </c>
      <c r="B78" s="0" t="str">
        <f aca="false">IFERROR(__xludf.dummyfunction("""COMPUTED_VALUE"""),"Даша")</f>
        <v>Даша</v>
      </c>
      <c r="C78" s="0" t="n">
        <f aca="false">IFERROR(__xludf.dummyfunction("""COMPUTED_VALUE"""),9)</f>
        <v>9</v>
      </c>
      <c r="D78" s="0" t="n">
        <f aca="false">IFERROR(__xludf.dummyfunction("""COMPUTED_VALUE"""),117)</f>
        <v>117</v>
      </c>
      <c r="E78" s="12" t="str">
        <f aca="false">IFERROR(__xludf.dummyfunction("""COMPUTED_VALUE"""),"Попробуй не сойти с ума")</f>
        <v>Попробуй не сойти с ума</v>
      </c>
      <c r="F78" s="1" t="n">
        <f aca="false">TRUE()</f>
        <v>1</v>
      </c>
      <c r="G78" s="1" t="n">
        <f aca="false">TRUE()</f>
        <v>1</v>
      </c>
      <c r="H78" s="1" t="n">
        <f aca="false">TRUE()</f>
        <v>1</v>
      </c>
      <c r="I78" s="1" t="n">
        <f aca="false">TRUE()</f>
        <v>1</v>
      </c>
      <c r="J78" s="1" t="n">
        <f aca="false">TRUE()</f>
        <v>1</v>
      </c>
      <c r="K78" s="0" t="n">
        <f aca="false">IFERROR(__xludf.dummyfunction("""COMPUTED_VALUE"""),18)</f>
        <v>18</v>
      </c>
    </row>
    <row r="79" customFormat="false" ht="15.75" hidden="false" customHeight="false" outlineLevel="0" collapsed="false">
      <c r="A79" s="0" t="str">
        <f aca="false">IFERROR(__xludf.dummyfunction("""COMPUTED_VALUE"""),"Шипилова")</f>
        <v>Шипилова</v>
      </c>
      <c r="B79" s="0" t="str">
        <f aca="false">IFERROR(__xludf.dummyfunction("""COMPUTED_VALUE"""),"Екатерина")</f>
        <v>Екатерина</v>
      </c>
      <c r="C79" s="0" t="n">
        <f aca="false">IFERROR(__xludf.dummyfunction("""COMPUTED_VALUE"""),10)</f>
        <v>10</v>
      </c>
      <c r="D79" s="0" t="n">
        <f aca="false">IFERROR(__xludf.dummyfunction("""COMPUTED_VALUE"""),84)</f>
        <v>84</v>
      </c>
      <c r="E79" s="12" t="str">
        <f aca="false">IFERROR(__xludf.dummyfunction("""COMPUTED_VALUE"""),"Попробуй не сойти с ума")</f>
        <v>Попробуй не сойти с ума</v>
      </c>
      <c r="F79" s="1" t="n">
        <f aca="false">FALSE()</f>
        <v>0</v>
      </c>
      <c r="G79" s="1" t="n">
        <f aca="false">TRUE()</f>
        <v>1</v>
      </c>
      <c r="H79" s="1" t="n">
        <f aca="false">TRUE()</f>
        <v>1</v>
      </c>
      <c r="I79" s="1" t="n">
        <f aca="false">TRUE()</f>
        <v>1</v>
      </c>
      <c r="J79" s="1" t="n">
        <f aca="false">TRUE()</f>
        <v>1</v>
      </c>
      <c r="K79" s="0" t="n">
        <f aca="false">IFERROR(__xludf.dummyfunction("""COMPUTED_VALUE"""),169)</f>
        <v>169</v>
      </c>
    </row>
    <row r="80" customFormat="false" ht="15.75" hidden="false" customHeight="false" outlineLevel="0" collapsed="false">
      <c r="A80" s="0" t="str">
        <f aca="false">IFERROR(__xludf.dummyfunction("""COMPUTED_VALUE"""),"Шлыкова")</f>
        <v>Шлыкова</v>
      </c>
      <c r="B80" s="0" t="str">
        <f aca="false">IFERROR(__xludf.dummyfunction("""COMPUTED_VALUE"""),"Валерия ")</f>
        <v>Валерия</v>
      </c>
      <c r="C80" s="0" t="n">
        <f aca="false">IFERROR(__xludf.dummyfunction("""COMPUTED_VALUE"""),9)</f>
        <v>9</v>
      </c>
      <c r="D80" s="0" t="n">
        <f aca="false">IFERROR(__xludf.dummyfunction("""COMPUTED_VALUE"""),117)</f>
        <v>117</v>
      </c>
      <c r="E80" s="12" t="str">
        <f aca="false">IFERROR(__xludf.dummyfunction("""COMPUTED_VALUE"""),"Попробуй не сойти с ума")</f>
        <v>Попробуй не сойти с ума</v>
      </c>
      <c r="F80" s="1" t="n">
        <f aca="false">TRUE()</f>
        <v>1</v>
      </c>
      <c r="G80" s="1" t="n">
        <f aca="false">TRUE()</f>
        <v>1</v>
      </c>
      <c r="H80" s="1" t="n">
        <f aca="false">TRUE()</f>
        <v>1</v>
      </c>
      <c r="I80" s="1" t="n">
        <f aca="false">TRUE()</f>
        <v>1</v>
      </c>
      <c r="J80" s="1" t="n">
        <f aca="false">TRUE()</f>
        <v>1</v>
      </c>
      <c r="K80" s="0" t="n">
        <f aca="false">IFERROR(__xludf.dummyfunction("""COMPUTED_VALUE"""),90)</f>
        <v>90</v>
      </c>
    </row>
    <row r="81" customFormat="false" ht="15.75" hidden="false" customHeight="false" outlineLevel="0" collapsed="false">
      <c r="A81" s="0" t="str">
        <f aca="false">IFERROR(__xludf.dummyfunction("""COMPUTED_VALUE"""),"Добролежа")</f>
        <v>Добролежа</v>
      </c>
      <c r="B81" s="0" t="str">
        <f aca="false">IFERROR(__xludf.dummyfunction("""COMPUTED_VALUE"""),"Олеся")</f>
        <v>Олеся</v>
      </c>
      <c r="C81" s="0" t="n">
        <f aca="false">IFERROR(__xludf.dummyfunction("""COMPUTED_VALUE"""),7)</f>
        <v>7</v>
      </c>
      <c r="D81" s="0" t="n">
        <f aca="false">IFERROR(__xludf.dummyfunction("""COMPUTED_VALUE"""),140)</f>
        <v>140</v>
      </c>
      <c r="E81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81" s="1" t="n">
        <f aca="false">TRUE()</f>
        <v>1</v>
      </c>
      <c r="G81" s="1" t="n">
        <f aca="false">TRUE()</f>
        <v>1</v>
      </c>
      <c r="H81" s="1" t="n">
        <f aca="false">TRUE()</f>
        <v>1</v>
      </c>
      <c r="I81" s="1" t="n">
        <f aca="false">FALSE()</f>
        <v>0</v>
      </c>
      <c r="J81" s="1" t="n">
        <f aca="false">TRUE()</f>
        <v>1</v>
      </c>
      <c r="K81" s="0" t="n">
        <f aca="false">IFERROR(__xludf.dummyfunction("""COMPUTED_VALUE"""),113)</f>
        <v>113</v>
      </c>
    </row>
    <row r="82" customFormat="false" ht="15.75" hidden="false" customHeight="false" outlineLevel="0" collapsed="false">
      <c r="A82" s="0" t="str">
        <f aca="false">IFERROR(__xludf.dummyfunction("""COMPUTED_VALUE"""),"Долгова")</f>
        <v>Долгова</v>
      </c>
      <c r="B82" s="0" t="str">
        <f aca="false">IFERROR(__xludf.dummyfunction("""COMPUTED_VALUE"""),"Анна")</f>
        <v>Анна</v>
      </c>
      <c r="C82" s="0" t="n">
        <f aca="false">IFERROR(__xludf.dummyfunction("""COMPUTED_VALUE"""),9)</f>
        <v>9</v>
      </c>
      <c r="D82" s="0" t="n">
        <f aca="false">IFERROR(__xludf.dummyfunction("""COMPUTED_VALUE"""),117)</f>
        <v>117</v>
      </c>
      <c r="E82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82" s="1" t="n">
        <f aca="false">TRUE()</f>
        <v>1</v>
      </c>
      <c r="G82" s="1" t="n">
        <f aca="false">TRUE()</f>
        <v>1</v>
      </c>
      <c r="H82" s="1" t="n">
        <f aca="false">TRUE()</f>
        <v>1</v>
      </c>
      <c r="I82" s="1" t="n">
        <f aca="false">FALSE()</f>
        <v>0</v>
      </c>
      <c r="J82" s="1" t="n">
        <f aca="false">FALSE()</f>
        <v>0</v>
      </c>
      <c r="K82" s="0" t="n">
        <f aca="false">IFERROR(__xludf.dummyfunction("""COMPUTED_VALUE"""),81)</f>
        <v>81</v>
      </c>
    </row>
    <row r="83" customFormat="false" ht="15.75" hidden="false" customHeight="false" outlineLevel="0" collapsed="false">
      <c r="A83" s="0" t="str">
        <f aca="false">IFERROR(__xludf.dummyfunction("""COMPUTED_VALUE"""),"Калиниченко ")</f>
        <v>Калиниченко</v>
      </c>
      <c r="B83" s="0" t="str">
        <f aca="false">IFERROR(__xludf.dummyfunction("""COMPUTED_VALUE"""),"Арсений")</f>
        <v>Арсений</v>
      </c>
      <c r="C83" s="0" t="n">
        <f aca="false">IFERROR(__xludf.dummyfunction("""COMPUTED_VALUE"""),10)</f>
        <v>10</v>
      </c>
      <c r="D83" s="0" t="n">
        <f aca="false">IFERROR(__xludf.dummyfunction("""COMPUTED_VALUE"""),51)</f>
        <v>51</v>
      </c>
      <c r="E83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83" s="1" t="n">
        <f aca="false">TRUE()</f>
        <v>1</v>
      </c>
      <c r="G83" s="1" t="n">
        <f aca="false">TRUE()</f>
        <v>1</v>
      </c>
      <c r="H83" s="1" t="n">
        <f aca="false">TRUE()</f>
        <v>1</v>
      </c>
      <c r="I83" s="1" t="n">
        <f aca="false">TRUE()</f>
        <v>1</v>
      </c>
      <c r="J83" s="1" t="n">
        <f aca="false">TRUE()</f>
        <v>1</v>
      </c>
      <c r="K83" s="0" t="n">
        <f aca="false">IFERROR(__xludf.dummyfunction("""COMPUTED_VALUE"""),16)</f>
        <v>16</v>
      </c>
    </row>
    <row r="84" customFormat="false" ht="15.75" hidden="false" customHeight="false" outlineLevel="0" collapsed="false">
      <c r="A84" s="0" t="str">
        <f aca="false">IFERROR(__xludf.dummyfunction("""COMPUTED_VALUE"""),"Качанова")</f>
        <v>Качанова</v>
      </c>
      <c r="B84" s="0" t="str">
        <f aca="false">IFERROR(__xludf.dummyfunction("""COMPUTED_VALUE"""),"Софья")</f>
        <v>Софья</v>
      </c>
      <c r="C84" s="0" t="n">
        <f aca="false">IFERROR(__xludf.dummyfunction("""COMPUTED_VALUE"""),9)</f>
        <v>9</v>
      </c>
      <c r="D84" s="0" t="n">
        <f aca="false">IFERROR(__xludf.dummyfunction("""COMPUTED_VALUE"""),159)</f>
        <v>159</v>
      </c>
      <c r="E84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84" s="1" t="n">
        <f aca="false">TRUE()</f>
        <v>1</v>
      </c>
      <c r="G84" s="1" t="n">
        <f aca="false">TRUE()</f>
        <v>1</v>
      </c>
      <c r="H84" s="1" t="n">
        <f aca="false">TRUE()</f>
        <v>1</v>
      </c>
      <c r="I84" s="1" t="n">
        <f aca="false">TRUE()</f>
        <v>1</v>
      </c>
      <c r="J84" s="1" t="n">
        <f aca="false">FALSE()</f>
        <v>0</v>
      </c>
      <c r="K84" s="0" t="n">
        <f aca="false">IFERROR(__xludf.dummyfunction("""COMPUTED_VALUE"""),109)</f>
        <v>109</v>
      </c>
    </row>
    <row r="85" customFormat="false" ht="15.75" hidden="false" customHeight="false" outlineLevel="0" collapsed="false">
      <c r="A85" s="0" t="str">
        <f aca="false">IFERROR(__xludf.dummyfunction("""COMPUTED_VALUE"""),"Кошевая")</f>
        <v>Кошевая</v>
      </c>
      <c r="B85" s="0" t="str">
        <f aca="false">IFERROR(__xludf.dummyfunction("""COMPUTED_VALUE"""),"Анастасия")</f>
        <v>Анастасия</v>
      </c>
      <c r="C85" s="0" t="n">
        <f aca="false">IFERROR(__xludf.dummyfunction("""COMPUTED_VALUE"""),9)</f>
        <v>9</v>
      </c>
      <c r="D85" s="0" t="n">
        <f aca="false">IFERROR(__xludf.dummyfunction("""COMPUTED_VALUE"""),117)</f>
        <v>117</v>
      </c>
      <c r="E85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85" s="1" t="n">
        <f aca="false">TRUE()</f>
        <v>1</v>
      </c>
      <c r="G85" s="1" t="n">
        <f aca="false">TRUE()</f>
        <v>1</v>
      </c>
      <c r="H85" s="1" t="n">
        <f aca="false">TRUE()</f>
        <v>1</v>
      </c>
      <c r="I85" s="1" t="n">
        <f aca="false">TRUE()</f>
        <v>1</v>
      </c>
      <c r="J85" s="1" t="n">
        <f aca="false">TRUE()</f>
        <v>1</v>
      </c>
      <c r="K85" s="0" t="n">
        <f aca="false">IFERROR(__xludf.dummyfunction("""COMPUTED_VALUE"""),86)</f>
        <v>86</v>
      </c>
    </row>
    <row r="86" customFormat="false" ht="15.75" hidden="false" customHeight="false" outlineLevel="0" collapsed="false">
      <c r="A86" s="0" t="str">
        <f aca="false">IFERROR(__xludf.dummyfunction("""COMPUTED_VALUE"""),"Крючков")</f>
        <v>Крючков</v>
      </c>
      <c r="B86" s="0" t="str">
        <f aca="false">IFERROR(__xludf.dummyfunction("""COMPUTED_VALUE"""),"Михаил")</f>
        <v>Михаил</v>
      </c>
      <c r="C86" s="0" t="n">
        <f aca="false">IFERROR(__xludf.dummyfunction("""COMPUTED_VALUE"""),8)</f>
        <v>8</v>
      </c>
      <c r="D86" s="0" t="n">
        <f aca="false">IFERROR(__xludf.dummyfunction("""COMPUTED_VALUE"""),66)</f>
        <v>66</v>
      </c>
      <c r="E86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86" s="1" t="n">
        <f aca="false">TRUE()</f>
        <v>1</v>
      </c>
      <c r="G86" s="1" t="n">
        <f aca="false">TRUE()</f>
        <v>1</v>
      </c>
      <c r="H86" s="1" t="n">
        <f aca="false">TRUE()</f>
        <v>1</v>
      </c>
      <c r="I86" s="1" t="n">
        <f aca="false">TRUE()</f>
        <v>1</v>
      </c>
      <c r="J86" s="1" t="n">
        <f aca="false">TRUE()</f>
        <v>1</v>
      </c>
      <c r="K86" s="0" t="n">
        <f aca="false">IFERROR(__xludf.dummyfunction("""COMPUTED_VALUE"""),56)</f>
        <v>56</v>
      </c>
    </row>
    <row r="87" customFormat="false" ht="15.75" hidden="false" customHeight="false" outlineLevel="0" collapsed="false">
      <c r="A87" s="0" t="str">
        <f aca="false">IFERROR(__xludf.dummyfunction("""COMPUTED_VALUE"""),"Курочкин")</f>
        <v>Курочкин</v>
      </c>
      <c r="B87" s="0" t="str">
        <f aca="false">IFERROR(__xludf.dummyfunction("""COMPUTED_VALUE"""),"Тихон")</f>
        <v>Тихон</v>
      </c>
      <c r="C87" s="0" t="n">
        <f aca="false">IFERROR(__xludf.dummyfunction("""COMPUTED_VALUE"""),10)</f>
        <v>10</v>
      </c>
      <c r="D87" s="0" t="n">
        <f aca="false">IFERROR(__xludf.dummyfunction("""COMPUTED_VALUE"""),150)</f>
        <v>150</v>
      </c>
      <c r="E87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87" s="1" t="n">
        <f aca="false">TRUE()</f>
        <v>1</v>
      </c>
      <c r="G87" s="1" t="n">
        <f aca="false">TRUE()</f>
        <v>1</v>
      </c>
      <c r="H87" s="1" t="n">
        <f aca="false">TRUE()</f>
        <v>1</v>
      </c>
      <c r="I87" s="1" t="n">
        <f aca="false">TRUE()</f>
        <v>1</v>
      </c>
      <c r="J87" s="1" t="n">
        <f aca="false">TRUE()</f>
        <v>1</v>
      </c>
      <c r="K87" s="0" t="n">
        <f aca="false">IFERROR(__xludf.dummyfunction("""COMPUTED_VALUE"""),7)</f>
        <v>7</v>
      </c>
    </row>
    <row r="88" customFormat="false" ht="15.75" hidden="false" customHeight="false" outlineLevel="0" collapsed="false">
      <c r="A88" s="0" t="str">
        <f aca="false">IFERROR(__xludf.dummyfunction("""COMPUTED_VALUE"""),"Папакина")</f>
        <v>Папакина</v>
      </c>
      <c r="B88" s="0" t="str">
        <f aca="false">IFERROR(__xludf.dummyfunction("""COMPUTED_VALUE"""),"Софья")</f>
        <v>Софья</v>
      </c>
      <c r="C88" s="0" t="n">
        <f aca="false">IFERROR(__xludf.dummyfunction("""COMPUTED_VALUE"""),10)</f>
        <v>10</v>
      </c>
      <c r="D88" s="0" t="n">
        <f aca="false">IFERROR(__xludf.dummyfunction("""COMPUTED_VALUE"""),117)</f>
        <v>117</v>
      </c>
      <c r="E88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88" s="1" t="n">
        <f aca="false">FALSE()</f>
        <v>0</v>
      </c>
      <c r="G88" s="1" t="n">
        <f aca="false">FALSE()</f>
        <v>0</v>
      </c>
      <c r="H88" s="1" t="n">
        <f aca="false">FALSE()</f>
        <v>0</v>
      </c>
      <c r="I88" s="1" t="n">
        <f aca="false">FALSE()</f>
        <v>0</v>
      </c>
      <c r="J88" s="1" t="n">
        <f aca="false">FALSE()</f>
        <v>0</v>
      </c>
      <c r="K88" s="0" t="n">
        <f aca="false">IFERROR(__xludf.dummyfunction("""COMPUTED_VALUE"""),55)</f>
        <v>55</v>
      </c>
    </row>
    <row r="89" customFormat="false" ht="15.75" hidden="false" customHeight="false" outlineLevel="0" collapsed="false">
      <c r="A89" s="0" t="str">
        <f aca="false">IFERROR(__xludf.dummyfunction("""COMPUTED_VALUE"""),"Полищук")</f>
        <v>Полищук</v>
      </c>
      <c r="B89" s="0" t="str">
        <f aca="false">IFERROR(__xludf.dummyfunction("""COMPUTED_VALUE"""),"Мария")</f>
        <v>Мария</v>
      </c>
      <c r="C89" s="0" t="n">
        <f aca="false">IFERROR(__xludf.dummyfunction("""COMPUTED_VALUE"""),9)</f>
        <v>9</v>
      </c>
      <c r="D89" s="0" t="n">
        <f aca="false">IFERROR(__xludf.dummyfunction("""COMPUTED_VALUE"""),19)</f>
        <v>19</v>
      </c>
      <c r="E89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89" s="1" t="n">
        <f aca="false">TRUE()</f>
        <v>1</v>
      </c>
      <c r="G89" s="1" t="n">
        <f aca="false">TRUE()</f>
        <v>1</v>
      </c>
      <c r="H89" s="1" t="n">
        <f aca="false">TRUE()</f>
        <v>1</v>
      </c>
      <c r="I89" s="1" t="n">
        <f aca="false">TRUE()</f>
        <v>1</v>
      </c>
      <c r="J89" s="1" t="n">
        <f aca="false">TRUE()</f>
        <v>1</v>
      </c>
      <c r="K89" s="0" t="n">
        <f aca="false">IFERROR(__xludf.dummyfunction("""COMPUTED_VALUE"""),74)</f>
        <v>74</v>
      </c>
    </row>
    <row r="90" customFormat="false" ht="15.75" hidden="false" customHeight="false" outlineLevel="0" collapsed="false">
      <c r="A90" s="0" t="str">
        <f aca="false">IFERROR(__xludf.dummyfunction("""COMPUTED_VALUE"""),"Ракова")</f>
        <v>Ракова</v>
      </c>
      <c r="B90" s="0" t="str">
        <f aca="false">IFERROR(__xludf.dummyfunction("""COMPUTED_VALUE"""),"Елизавета")</f>
        <v>Елизавета</v>
      </c>
      <c r="C90" s="0" t="n">
        <f aca="false">IFERROR(__xludf.dummyfunction("""COMPUTED_VALUE"""),7)</f>
        <v>7</v>
      </c>
      <c r="D90" s="0" t="n">
        <f aca="false">IFERROR(__xludf.dummyfunction("""COMPUTED_VALUE"""),117)</f>
        <v>117</v>
      </c>
      <c r="E90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90" s="1" t="n">
        <f aca="false">TRUE()</f>
        <v>1</v>
      </c>
      <c r="G90" s="1" t="n">
        <f aca="false">TRUE()</f>
        <v>1</v>
      </c>
      <c r="H90" s="1" t="n">
        <f aca="false">TRUE()</f>
        <v>1</v>
      </c>
      <c r="I90" s="1" t="n">
        <f aca="false">FALSE()</f>
        <v>0</v>
      </c>
      <c r="J90" s="1" t="n">
        <f aca="false">FALSE()</f>
        <v>0</v>
      </c>
      <c r="K90" s="0" t="n">
        <f aca="false">IFERROR(__xludf.dummyfunction("""COMPUTED_VALUE"""),39)</f>
        <v>39</v>
      </c>
    </row>
    <row r="91" customFormat="false" ht="15.75" hidden="false" customHeight="false" outlineLevel="0" collapsed="false">
      <c r="A91" s="0" t="str">
        <f aca="false">IFERROR(__xludf.dummyfunction("""COMPUTED_VALUE"""),"Ремизова")</f>
        <v>Ремизова</v>
      </c>
      <c r="B91" s="0" t="str">
        <f aca="false">IFERROR(__xludf.dummyfunction("""COMPUTED_VALUE"""),"Ульяна")</f>
        <v>Ульяна</v>
      </c>
      <c r="C91" s="0" t="n">
        <f aca="false">IFERROR(__xludf.dummyfunction("""COMPUTED_VALUE"""),8)</f>
        <v>8</v>
      </c>
      <c r="D91" s="0" t="n">
        <f aca="false">IFERROR(__xludf.dummyfunction("""COMPUTED_VALUE"""),117)</f>
        <v>117</v>
      </c>
      <c r="E91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91" s="1" t="n">
        <f aca="false">TRUE()</f>
        <v>1</v>
      </c>
      <c r="G91" s="1" t="n">
        <f aca="false">TRUE()</f>
        <v>1</v>
      </c>
      <c r="H91" s="1" t="n">
        <f aca="false">TRUE()</f>
        <v>1</v>
      </c>
      <c r="I91" s="1" t="n">
        <f aca="false">TRUE()</f>
        <v>1</v>
      </c>
      <c r="J91" s="1" t="n">
        <f aca="false">FALSE()</f>
        <v>0</v>
      </c>
      <c r="K91" s="0" t="n">
        <f aca="false">IFERROR(__xludf.dummyfunction("""COMPUTED_VALUE"""),44)</f>
        <v>44</v>
      </c>
    </row>
    <row r="92" customFormat="false" ht="15.75" hidden="false" customHeight="false" outlineLevel="0" collapsed="false">
      <c r="A92" s="0" t="str">
        <f aca="false">IFERROR(__xludf.dummyfunction("""COMPUTED_VALUE"""),"Фёдорова")</f>
        <v>Фёдорова</v>
      </c>
      <c r="B92" s="0" t="str">
        <f aca="false">IFERROR(__xludf.dummyfunction("""COMPUTED_VALUE"""),"Ксения")</f>
        <v>Ксения</v>
      </c>
      <c r="C92" s="0" t="n">
        <f aca="false">IFERROR(__xludf.dummyfunction("""COMPUTED_VALUE"""),11)</f>
        <v>11</v>
      </c>
      <c r="D92" s="0" t="n">
        <f aca="false">IFERROR(__xludf.dummyfunction("""COMPUTED_VALUE"""),140)</f>
        <v>140</v>
      </c>
      <c r="E92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92" s="1" t="n">
        <f aca="false">TRUE()</f>
        <v>1</v>
      </c>
      <c r="G92" s="1" t="n">
        <f aca="false">TRUE()</f>
        <v>1</v>
      </c>
      <c r="H92" s="1" t="n">
        <f aca="false">TRUE()</f>
        <v>1</v>
      </c>
      <c r="I92" s="1" t="n">
        <f aca="false">TRUE()</f>
        <v>1</v>
      </c>
      <c r="J92" s="1" t="n">
        <f aca="false">FALSE()</f>
        <v>0</v>
      </c>
      <c r="K92" s="0" t="n">
        <f aca="false">IFERROR(__xludf.dummyfunction("""COMPUTED_VALUE"""),71)</f>
        <v>71</v>
      </c>
    </row>
    <row r="93" customFormat="false" ht="15.75" hidden="false" customHeight="false" outlineLevel="0" collapsed="false">
      <c r="A93" s="0" t="str">
        <f aca="false">IFERROR(__xludf.dummyfunction("""COMPUTED_VALUE"""),"Шишко")</f>
        <v>Шишко</v>
      </c>
      <c r="B93" s="0" t="str">
        <f aca="false">IFERROR(__xludf.dummyfunction("""COMPUTED_VALUE"""),"Алёна ")</f>
        <v>Алёна</v>
      </c>
      <c r="C93" s="0" t="n">
        <f aca="false">IFERROR(__xludf.dummyfunction("""COMPUTED_VALUE"""),9)</f>
        <v>9</v>
      </c>
      <c r="D93" s="0" t="n">
        <f aca="false">IFERROR(__xludf.dummyfunction("""COMPUTED_VALUE"""),117)</f>
        <v>117</v>
      </c>
      <c r="E93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93" s="1" t="n">
        <f aca="false">TRUE()</f>
        <v>1</v>
      </c>
      <c r="G93" s="1" t="n">
        <f aca="false">TRUE()</f>
        <v>1</v>
      </c>
      <c r="H93" s="1" t="n">
        <f aca="false">TRUE()</f>
        <v>1</v>
      </c>
      <c r="I93" s="1" t="n">
        <f aca="false">TRUE()</f>
        <v>1</v>
      </c>
      <c r="J93" s="1" t="n">
        <f aca="false">FALSE()</f>
        <v>0</v>
      </c>
      <c r="K93" s="0" t="n">
        <f aca="false">IFERROR(__xludf.dummyfunction("""COMPUTED_VALUE"""),93)</f>
        <v>93</v>
      </c>
    </row>
    <row r="94" customFormat="false" ht="15.75" hidden="false" customHeight="false" outlineLevel="0" collapsed="false">
      <c r="A94" s="0" t="str">
        <f aca="false">IFERROR(__xludf.dummyfunction("""COMPUTED_VALUE"""),"Ячменёва")</f>
        <v>Ячменёва</v>
      </c>
      <c r="B94" s="0" t="str">
        <f aca="false">IFERROR(__xludf.dummyfunction("""COMPUTED_VALUE"""),"Василиса")</f>
        <v>Василиса</v>
      </c>
      <c r="C94" s="0" t="n">
        <f aca="false">IFERROR(__xludf.dummyfunction("""COMPUTED_VALUE"""),11)</f>
        <v>11</v>
      </c>
      <c r="D94" s="0" t="n">
        <f aca="false">IFERROR(__xludf.dummyfunction("""COMPUTED_VALUE"""),140)</f>
        <v>140</v>
      </c>
      <c r="E94" s="12" t="str">
        <f aca="false">IFERROR(__xludf.dummyfunction("""COMPUTED_VALUE"""),"Презентация, которую запомнят: инструкция по применению")</f>
        <v>Презентация, которую запомнят: инструкция по применению</v>
      </c>
      <c r="F94" s="1" t="n">
        <f aca="false">TRUE()</f>
        <v>1</v>
      </c>
      <c r="G94" s="1" t="n">
        <f aca="false">TRUE()</f>
        <v>1</v>
      </c>
      <c r="H94" s="1" t="n">
        <f aca="false">TRUE()</f>
        <v>1</v>
      </c>
      <c r="I94" s="1" t="n">
        <f aca="false">TRUE()</f>
        <v>1</v>
      </c>
      <c r="J94" s="1" t="n">
        <f aca="false">TRUE()</f>
        <v>1</v>
      </c>
      <c r="K94" s="0" t="n">
        <f aca="false">IFERROR(__xludf.dummyfunction("""COMPUTED_VALUE"""),77)</f>
        <v>77</v>
      </c>
    </row>
    <row r="95" customFormat="false" ht="15.75" hidden="false" customHeight="false" outlineLevel="0" collapsed="false">
      <c r="A95" s="0" t="str">
        <f aca="false">IFERROR(__xludf.dummyfunction("""COMPUTED_VALUE"""),"Белозеров")</f>
        <v>Белозеров</v>
      </c>
      <c r="B95" s="0" t="str">
        <f aca="false">IFERROR(__xludf.dummyfunction("""COMPUTED_VALUE"""),"Алексей")</f>
        <v>Алексей</v>
      </c>
      <c r="C95" s="0" t="n">
        <f aca="false">IFERROR(__xludf.dummyfunction("""COMPUTED_VALUE"""),9)</f>
        <v>9</v>
      </c>
      <c r="D95" s="0" t="n">
        <f aca="false">IFERROR(__xludf.dummyfunction("""COMPUTED_VALUE"""),56)</f>
        <v>56</v>
      </c>
      <c r="E95" s="12" t="str">
        <f aca="false">IFERROR(__xludf.dummyfunction("""COMPUTED_VALUE"""),"Русское искусство")</f>
        <v>Русское искусство</v>
      </c>
      <c r="F95" s="1" t="n">
        <f aca="false">TRUE()</f>
        <v>1</v>
      </c>
      <c r="G95" s="1" t="n">
        <f aca="false">TRUE()</f>
        <v>1</v>
      </c>
      <c r="H95" s="1" t="n">
        <f aca="false">TRUE()</f>
        <v>1</v>
      </c>
      <c r="I95" s="1" t="n">
        <f aca="false">TRUE()</f>
        <v>1</v>
      </c>
      <c r="J95" s="1" t="n">
        <f aca="false">TRUE()</f>
        <v>1</v>
      </c>
      <c r="K95" s="0" t="n">
        <f aca="false">IFERROR(__xludf.dummyfunction("""COMPUTED_VALUE"""),166)</f>
        <v>166</v>
      </c>
    </row>
    <row r="96" customFormat="false" ht="15.75" hidden="false" customHeight="false" outlineLevel="0" collapsed="false">
      <c r="A96" s="0" t="str">
        <f aca="false">IFERROR(__xludf.dummyfunction("""COMPUTED_VALUE"""),"Богун")</f>
        <v>Богун</v>
      </c>
      <c r="B96" s="0" t="str">
        <f aca="false">IFERROR(__xludf.dummyfunction("""COMPUTED_VALUE"""),"Сабина")</f>
        <v>Сабина</v>
      </c>
      <c r="C96" s="0" t="n">
        <f aca="false">IFERROR(__xludf.dummyfunction("""COMPUTED_VALUE"""),8)</f>
        <v>8</v>
      </c>
      <c r="D96" s="0" t="n">
        <f aca="false">IFERROR(__xludf.dummyfunction("""COMPUTED_VALUE"""),130)</f>
        <v>130</v>
      </c>
      <c r="E96" s="12" t="str">
        <f aca="false">IFERROR(__xludf.dummyfunction("""COMPUTED_VALUE"""),"Русское искусство")</f>
        <v>Русское искусство</v>
      </c>
      <c r="F96" s="1" t="n">
        <f aca="false">FALSE()</f>
        <v>0</v>
      </c>
      <c r="G96" s="1" t="n">
        <f aca="false">TRUE()</f>
        <v>1</v>
      </c>
      <c r="H96" s="1" t="n">
        <f aca="false">FALSE()</f>
        <v>0</v>
      </c>
      <c r="I96" s="1" t="n">
        <f aca="false">FALSE()</f>
        <v>0</v>
      </c>
      <c r="J96" s="1" t="n">
        <f aca="false">FALSE()</f>
        <v>0</v>
      </c>
      <c r="K96" s="0" t="n">
        <f aca="false">IFERROR(__xludf.dummyfunction("""COMPUTED_VALUE"""),111)</f>
        <v>111</v>
      </c>
    </row>
    <row r="97" customFormat="false" ht="15.75" hidden="false" customHeight="false" outlineLevel="0" collapsed="false">
      <c r="A97" s="0" t="str">
        <f aca="false">IFERROR(__xludf.dummyfunction("""COMPUTED_VALUE"""),"Булучевская")</f>
        <v>Булучевская</v>
      </c>
      <c r="B97" s="0" t="str">
        <f aca="false">IFERROR(__xludf.dummyfunction("""COMPUTED_VALUE"""),"Нина")</f>
        <v>Нина</v>
      </c>
      <c r="C97" s="0" t="n">
        <f aca="false">IFERROR(__xludf.dummyfunction("""COMPUTED_VALUE"""),9)</f>
        <v>9</v>
      </c>
      <c r="D97" s="0" t="n">
        <f aca="false">IFERROR(__xludf.dummyfunction("""COMPUTED_VALUE"""),117)</f>
        <v>117</v>
      </c>
      <c r="E97" s="12" t="str">
        <f aca="false">IFERROR(__xludf.dummyfunction("""COMPUTED_VALUE"""),"Русское искусство")</f>
        <v>Русское искусство</v>
      </c>
      <c r="F97" s="1" t="n">
        <f aca="false">TRUE()</f>
        <v>1</v>
      </c>
      <c r="G97" s="1" t="n">
        <f aca="false">TRUE()</f>
        <v>1</v>
      </c>
      <c r="H97" s="1" t="n">
        <f aca="false">FALSE()</f>
        <v>0</v>
      </c>
      <c r="I97" s="1" t="n">
        <f aca="false">FALSE()</f>
        <v>0</v>
      </c>
      <c r="J97" s="1" t="n">
        <f aca="false">FALSE()</f>
        <v>0</v>
      </c>
      <c r="K97" s="0" t="n">
        <f aca="false">IFERROR(__xludf.dummyfunction("""COMPUTED_VALUE"""),134)</f>
        <v>134</v>
      </c>
    </row>
    <row r="98" customFormat="false" ht="15.75" hidden="false" customHeight="false" outlineLevel="0" collapsed="false">
      <c r="A98" s="0" t="str">
        <f aca="false">IFERROR(__xludf.dummyfunction("""COMPUTED_VALUE"""),"Волобуева")</f>
        <v>Волобуева</v>
      </c>
      <c r="B98" s="0" t="str">
        <f aca="false">IFERROR(__xludf.dummyfunction("""COMPUTED_VALUE"""),"Настя")</f>
        <v>Настя</v>
      </c>
      <c r="C98" s="0" t="n">
        <f aca="false">IFERROR(__xludf.dummyfunction("""COMPUTED_VALUE"""),10)</f>
        <v>10</v>
      </c>
      <c r="D98" s="0" t="n">
        <f aca="false">IFERROR(__xludf.dummyfunction("""COMPUTED_VALUE"""),104)</f>
        <v>104</v>
      </c>
      <c r="E98" s="12" t="str">
        <f aca="false">IFERROR(__xludf.dummyfunction("""COMPUTED_VALUE"""),"Русское искусство")</f>
        <v>Русское искусство</v>
      </c>
      <c r="F98" s="1" t="n">
        <f aca="false">TRUE()</f>
        <v>1</v>
      </c>
      <c r="G98" s="1" t="n">
        <f aca="false">TRUE()</f>
        <v>1</v>
      </c>
      <c r="H98" s="1" t="n">
        <f aca="false">TRUE()</f>
        <v>1</v>
      </c>
      <c r="I98" s="1" t="n">
        <f aca="false">TRUE()</f>
        <v>1</v>
      </c>
      <c r="J98" s="1" t="n">
        <f aca="false">TRUE()</f>
        <v>1</v>
      </c>
      <c r="K98" s="0" t="n">
        <f aca="false">IFERROR(__xludf.dummyfunction("""COMPUTED_VALUE"""),79)</f>
        <v>79</v>
      </c>
    </row>
    <row r="99" customFormat="false" ht="15.75" hidden="false" customHeight="false" outlineLevel="0" collapsed="false">
      <c r="A99" s="0" t="str">
        <f aca="false">IFERROR(__xludf.dummyfunction("""COMPUTED_VALUE"""),"Гричкоедовой")</f>
        <v>Гричкоедовой</v>
      </c>
      <c r="B99" s="0" t="str">
        <f aca="false">IFERROR(__xludf.dummyfunction("""COMPUTED_VALUE"""),"Анастасия")</f>
        <v>Анастасия</v>
      </c>
      <c r="C99" s="0" t="n">
        <f aca="false">IFERROR(__xludf.dummyfunction("""COMPUTED_VALUE"""),10)</f>
        <v>10</v>
      </c>
      <c r="D99" s="0" t="n">
        <f aca="false">IFERROR(__xludf.dummyfunction("""COMPUTED_VALUE"""),149)</f>
        <v>149</v>
      </c>
      <c r="E99" s="12" t="str">
        <f aca="false">IFERROR(__xludf.dummyfunction("""COMPUTED_VALUE"""),"Русское искусство")</f>
        <v>Русское искусство</v>
      </c>
      <c r="F99" s="1" t="n">
        <f aca="false">FALSE()</f>
        <v>0</v>
      </c>
      <c r="G99" s="1" t="n">
        <f aca="false">FALSE()</f>
        <v>0</v>
      </c>
      <c r="H99" s="1" t="n">
        <f aca="false">FALSE()</f>
        <v>0</v>
      </c>
      <c r="I99" s="1" t="n">
        <f aca="false">FALSE()</f>
        <v>0</v>
      </c>
      <c r="J99" s="1" t="n">
        <f aca="false">FALSE()</f>
        <v>0</v>
      </c>
      <c r="K99" s="0" t="n">
        <f aca="false">IFERROR(__xludf.dummyfunction("""COMPUTED_VALUE"""),162)</f>
        <v>162</v>
      </c>
    </row>
    <row r="100" customFormat="false" ht="15.75" hidden="false" customHeight="false" outlineLevel="0" collapsed="false">
      <c r="A100" s="0" t="str">
        <f aca="false">IFERROR(__xludf.dummyfunction("""COMPUTED_VALUE"""),"Денисова ")</f>
        <v>Денисова</v>
      </c>
      <c r="B100" s="0" t="str">
        <f aca="false">IFERROR(__xludf.dummyfunction("""COMPUTED_VALUE"""),"Маргарита")</f>
        <v>Маргарита</v>
      </c>
      <c r="C100" s="0" t="n">
        <f aca="false">IFERROR(__xludf.dummyfunction("""COMPUTED_VALUE"""),9)</f>
        <v>9</v>
      </c>
      <c r="D100" s="0" t="n">
        <f aca="false">IFERROR(__xludf.dummyfunction("""COMPUTED_VALUE"""),117)</f>
        <v>117</v>
      </c>
      <c r="E100" s="12" t="str">
        <f aca="false">IFERROR(__xludf.dummyfunction("""COMPUTED_VALUE"""),"Русское искусство")</f>
        <v>Русское искусство</v>
      </c>
      <c r="F100" s="1" t="n">
        <f aca="false">TRUE()</f>
        <v>1</v>
      </c>
      <c r="G100" s="1" t="n">
        <f aca="false">TRUE()</f>
        <v>1</v>
      </c>
      <c r="H100" s="1" t="n">
        <f aca="false">TRUE()</f>
        <v>1</v>
      </c>
      <c r="I100" s="1" t="n">
        <f aca="false">TRUE()</f>
        <v>1</v>
      </c>
      <c r="J100" s="1" t="n">
        <f aca="false">TRUE()</f>
        <v>1</v>
      </c>
      <c r="K100" s="0" t="n">
        <f aca="false">IFERROR(__xludf.dummyfunction("""COMPUTED_VALUE"""),142)</f>
        <v>142</v>
      </c>
    </row>
    <row r="101" customFormat="false" ht="15.75" hidden="false" customHeight="false" outlineLevel="0" collapsed="false">
      <c r="A101" s="0" t="str">
        <f aca="false">IFERROR(__xludf.dummyfunction("""COMPUTED_VALUE"""),"Джураева")</f>
        <v>Джураева</v>
      </c>
      <c r="B101" s="0" t="str">
        <f aca="false">IFERROR(__xludf.dummyfunction("""COMPUTED_VALUE"""),"Рената")</f>
        <v>Рената</v>
      </c>
      <c r="C101" s="0" t="n">
        <f aca="false">IFERROR(__xludf.dummyfunction("""COMPUTED_VALUE"""),10)</f>
        <v>10</v>
      </c>
      <c r="D101" s="0" t="n">
        <f aca="false">IFERROR(__xludf.dummyfunction("""COMPUTED_VALUE"""),64)</f>
        <v>64</v>
      </c>
      <c r="E101" s="12" t="str">
        <f aca="false">IFERROR(__xludf.dummyfunction("""COMPUTED_VALUE"""),"Русское искусство")</f>
        <v>Русское искусство</v>
      </c>
      <c r="F101" s="1" t="n">
        <f aca="false">TRUE()</f>
        <v>1</v>
      </c>
      <c r="G101" s="1" t="n">
        <f aca="false">TRUE()</f>
        <v>1</v>
      </c>
      <c r="H101" s="1" t="n">
        <f aca="false">FALSE()</f>
        <v>0</v>
      </c>
      <c r="I101" s="1" t="n">
        <f aca="false">TRUE()</f>
        <v>1</v>
      </c>
      <c r="J101" s="1" t="n">
        <f aca="false">FALSE()</f>
        <v>0</v>
      </c>
      <c r="K101" s="0" t="n">
        <f aca="false">IFERROR(__xludf.dummyfunction("""COMPUTED_VALUE"""),8)</f>
        <v>8</v>
      </c>
    </row>
    <row r="102" customFormat="false" ht="15.75" hidden="false" customHeight="false" outlineLevel="0" collapsed="false">
      <c r="A102" s="0" t="str">
        <f aca="false">IFERROR(__xludf.dummyfunction("""COMPUTED_VALUE"""),"Зайцева")</f>
        <v>Зайцева</v>
      </c>
      <c r="B102" s="0" t="str">
        <f aca="false">IFERROR(__xludf.dummyfunction("""COMPUTED_VALUE"""),"Марина")</f>
        <v>Марина</v>
      </c>
      <c r="C102" s="0" t="n">
        <f aca="false">IFERROR(__xludf.dummyfunction("""COMPUTED_VALUE"""),9)</f>
        <v>9</v>
      </c>
      <c r="D102" s="0" t="n">
        <f aca="false">IFERROR(__xludf.dummyfunction("""COMPUTED_VALUE"""),149)</f>
        <v>149</v>
      </c>
      <c r="E102" s="12" t="str">
        <f aca="false">IFERROR(__xludf.dummyfunction("""COMPUTED_VALUE"""),"Русское искусство")</f>
        <v>Русское искусство</v>
      </c>
      <c r="F102" s="1" t="n">
        <f aca="false">TRUE()</f>
        <v>1</v>
      </c>
      <c r="G102" s="1" t="n">
        <f aca="false">TRUE()</f>
        <v>1</v>
      </c>
      <c r="H102" s="1" t="n">
        <f aca="false">TRUE()</f>
        <v>1</v>
      </c>
      <c r="I102" s="1" t="n">
        <f aca="false">FALSE()</f>
        <v>0</v>
      </c>
      <c r="J102" s="1" t="n">
        <f aca="false">TRUE()</f>
        <v>1</v>
      </c>
      <c r="K102" s="0" t="n">
        <f aca="false">IFERROR(__xludf.dummyfunction("""COMPUTED_VALUE"""),41)</f>
        <v>41</v>
      </c>
    </row>
    <row r="103" customFormat="false" ht="15.75" hidden="false" customHeight="false" outlineLevel="0" collapsed="false">
      <c r="A103" s="0" t="str">
        <f aca="false">IFERROR(__xludf.dummyfunction("""COMPUTED_VALUE"""),"Исаева")</f>
        <v>Исаева</v>
      </c>
      <c r="B103" s="0" t="str">
        <f aca="false">IFERROR(__xludf.dummyfunction("""COMPUTED_VALUE"""),"Анна")</f>
        <v>Анна</v>
      </c>
      <c r="C103" s="0" t="n">
        <f aca="false">IFERROR(__xludf.dummyfunction("""COMPUTED_VALUE"""),10)</f>
        <v>10</v>
      </c>
      <c r="D103" s="0" t="n">
        <f aca="false">IFERROR(__xludf.dummyfunction("""COMPUTED_VALUE"""),64)</f>
        <v>64</v>
      </c>
      <c r="E103" s="12" t="str">
        <f aca="false">IFERROR(__xludf.dummyfunction("""COMPUTED_VALUE"""),"Русское искусство")</f>
        <v>Русское искусство</v>
      </c>
      <c r="F103" s="1" t="n">
        <f aca="false">TRUE()</f>
        <v>1</v>
      </c>
      <c r="G103" s="1" t="n">
        <f aca="false">FALSE()</f>
        <v>0</v>
      </c>
      <c r="H103" s="1" t="n">
        <f aca="false">TRUE()</f>
        <v>1</v>
      </c>
      <c r="I103" s="1" t="n">
        <f aca="false">TRUE()</f>
        <v>1</v>
      </c>
      <c r="J103" s="1" t="n">
        <f aca="false">TRUE()</f>
        <v>1</v>
      </c>
      <c r="K103" s="0" t="n">
        <f aca="false">IFERROR(__xludf.dummyfunction("""COMPUTED_VALUE"""),9)</f>
        <v>9</v>
      </c>
    </row>
    <row r="104" customFormat="false" ht="15.75" hidden="false" customHeight="false" outlineLevel="0" collapsed="false">
      <c r="A104" s="0" t="str">
        <f aca="false">IFERROR(__xludf.dummyfunction("""COMPUTED_VALUE"""),"Каныгина")</f>
        <v>Каныгина</v>
      </c>
      <c r="B104" s="0" t="str">
        <f aca="false">IFERROR(__xludf.dummyfunction("""COMPUTED_VALUE"""),"Милана")</f>
        <v>Милана</v>
      </c>
      <c r="C104" s="0" t="n">
        <f aca="false">IFERROR(__xludf.dummyfunction("""COMPUTED_VALUE"""),11)</f>
        <v>11</v>
      </c>
      <c r="D104" s="0" t="n">
        <f aca="false">IFERROR(__xludf.dummyfunction("""COMPUTED_VALUE"""),62)</f>
        <v>62</v>
      </c>
      <c r="E104" s="12" t="str">
        <f aca="false">IFERROR(__xludf.dummyfunction("""COMPUTED_VALUE"""),"Русское искусство")</f>
        <v>Русское искусство</v>
      </c>
      <c r="F104" s="1" t="n">
        <f aca="false">FALSE()</f>
        <v>0</v>
      </c>
      <c r="G104" s="1" t="n">
        <f aca="false">FALSE()</f>
        <v>0</v>
      </c>
      <c r="H104" s="1" t="n">
        <f aca="false">FALSE()</f>
        <v>0</v>
      </c>
      <c r="I104" s="1" t="n">
        <f aca="false">TRUE()</f>
        <v>1</v>
      </c>
      <c r="J104" s="1" t="n">
        <f aca="false">TRUE()</f>
        <v>1</v>
      </c>
      <c r="K104" s="0" t="n">
        <f aca="false">IFERROR(__xludf.dummyfunction("""COMPUTED_VALUE"""),10)</f>
        <v>10</v>
      </c>
    </row>
    <row r="105" customFormat="false" ht="15.75" hidden="false" customHeight="false" outlineLevel="0" collapsed="false">
      <c r="A105" s="0" t="str">
        <f aca="false">IFERROR(__xludf.dummyfunction("""COMPUTED_VALUE"""),"Коломиец")</f>
        <v>Коломиец</v>
      </c>
      <c r="B105" s="0" t="str">
        <f aca="false">IFERROR(__xludf.dummyfunction("""COMPUTED_VALUE"""),"Мария")</f>
        <v>Мария</v>
      </c>
      <c r="C105" s="0" t="n">
        <f aca="false">IFERROR(__xludf.dummyfunction("""COMPUTED_VALUE"""),9)</f>
        <v>9</v>
      </c>
      <c r="D105" s="0" t="n">
        <f aca="false">IFERROR(__xludf.dummyfunction("""COMPUTED_VALUE"""),29)</f>
        <v>29</v>
      </c>
      <c r="E105" s="12" t="str">
        <f aca="false">IFERROR(__xludf.dummyfunction("""COMPUTED_VALUE"""),"Русское искусство")</f>
        <v>Русское искусство</v>
      </c>
      <c r="F105" s="1" t="n">
        <f aca="false">TRUE()</f>
        <v>1</v>
      </c>
      <c r="G105" s="1" t="n">
        <f aca="false">TRUE()</f>
        <v>1</v>
      </c>
      <c r="H105" s="1" t="n">
        <f aca="false">TRUE()</f>
        <v>1</v>
      </c>
      <c r="I105" s="1" t="n">
        <f aca="false">TRUE()</f>
        <v>1</v>
      </c>
      <c r="J105" s="1" t="n">
        <f aca="false">TRUE()</f>
        <v>1</v>
      </c>
      <c r="K105" s="0" t="n">
        <f aca="false">IFERROR(__xludf.dummyfunction("""COMPUTED_VALUE"""),106)</f>
        <v>106</v>
      </c>
    </row>
    <row r="106" customFormat="false" ht="15.75" hidden="false" customHeight="false" outlineLevel="0" collapsed="false">
      <c r="A106" s="0" t="str">
        <f aca="false">IFERROR(__xludf.dummyfunction("""COMPUTED_VALUE"""),"Куприенко")</f>
        <v>Куприенко</v>
      </c>
      <c r="B106" s="0" t="str">
        <f aca="false">IFERROR(__xludf.dummyfunction("""COMPUTED_VALUE"""),"Яна")</f>
        <v>Яна</v>
      </c>
      <c r="C106" s="0" t="n">
        <f aca="false">IFERROR(__xludf.dummyfunction("""COMPUTED_VALUE"""),9)</f>
        <v>9</v>
      </c>
      <c r="D106" s="0" t="n">
        <f aca="false">IFERROR(__xludf.dummyfunction("""COMPUTED_VALUE"""),117)</f>
        <v>117</v>
      </c>
      <c r="E106" s="12" t="str">
        <f aca="false">IFERROR(__xludf.dummyfunction("""COMPUTED_VALUE"""),"Русское искусство")</f>
        <v>Русское искусство</v>
      </c>
      <c r="F106" s="1" t="n">
        <f aca="false">TRUE()</f>
        <v>1</v>
      </c>
      <c r="G106" s="1" t="n">
        <f aca="false">TRUE()</f>
        <v>1</v>
      </c>
      <c r="H106" s="1" t="n">
        <f aca="false">TRUE()</f>
        <v>1</v>
      </c>
      <c r="I106" s="1" t="n">
        <f aca="false">TRUE()</f>
        <v>1</v>
      </c>
      <c r="J106" s="1" t="n">
        <f aca="false">TRUE()</f>
        <v>1</v>
      </c>
      <c r="K106" s="0" t="n">
        <f aca="false">IFERROR(__xludf.dummyfunction("""COMPUTED_VALUE"""),83)</f>
        <v>83</v>
      </c>
    </row>
    <row r="107" customFormat="false" ht="15.75" hidden="false" customHeight="false" outlineLevel="0" collapsed="false">
      <c r="A107" s="0" t="str">
        <f aca="false">IFERROR(__xludf.dummyfunction("""COMPUTED_VALUE"""),"Лещенко")</f>
        <v>Лещенко</v>
      </c>
      <c r="B107" s="0" t="str">
        <f aca="false">IFERROR(__xludf.dummyfunction("""COMPUTED_VALUE"""),"Сергей")</f>
        <v>Сергей</v>
      </c>
      <c r="C107" s="0" t="n">
        <f aca="false">IFERROR(__xludf.dummyfunction("""COMPUTED_VALUE"""),9)</f>
        <v>9</v>
      </c>
      <c r="D107" s="0" t="n">
        <f aca="false">IFERROR(__xludf.dummyfunction("""COMPUTED_VALUE"""),117)</f>
        <v>117</v>
      </c>
      <c r="E107" s="12" t="str">
        <f aca="false">IFERROR(__xludf.dummyfunction("""COMPUTED_VALUE"""),"Русское искусство")</f>
        <v>Русское искусство</v>
      </c>
      <c r="F107" s="1" t="n">
        <f aca="false">TRUE()</f>
        <v>1</v>
      </c>
      <c r="G107" s="1" t="n">
        <f aca="false">FALSE()</f>
        <v>0</v>
      </c>
      <c r="H107" s="1" t="n">
        <f aca="false">FALSE()</f>
        <v>0</v>
      </c>
      <c r="I107" s="1" t="n">
        <f aca="false">FALSE()</f>
        <v>0</v>
      </c>
      <c r="J107" s="1" t="n">
        <f aca="false">FALSE()</f>
        <v>0</v>
      </c>
      <c r="K107" s="0" t="n">
        <f aca="false">IFERROR(__xludf.dummyfunction("""COMPUTED_VALUE"""),143)</f>
        <v>143</v>
      </c>
    </row>
    <row r="108" customFormat="false" ht="15.75" hidden="false" customHeight="false" outlineLevel="0" collapsed="false">
      <c r="A108" s="0" t="str">
        <f aca="false">IFERROR(__xludf.dummyfunction("""COMPUTED_VALUE"""),"Мокиенко ")</f>
        <v>Мокиенко</v>
      </c>
      <c r="B108" s="0" t="str">
        <f aca="false">IFERROR(__xludf.dummyfunction("""COMPUTED_VALUE"""),"Ксения")</f>
        <v>Ксения</v>
      </c>
      <c r="C108" s="0" t="n">
        <f aca="false">IFERROR(__xludf.dummyfunction("""COMPUTED_VALUE"""),9)</f>
        <v>9</v>
      </c>
      <c r="D108" s="0" t="n">
        <f aca="false">IFERROR(__xludf.dummyfunction("""COMPUTED_VALUE"""),117)</f>
        <v>117</v>
      </c>
      <c r="E108" s="12" t="str">
        <f aca="false">IFERROR(__xludf.dummyfunction("""COMPUTED_VALUE"""),"Русское искусство")</f>
        <v>Русское искусство</v>
      </c>
      <c r="F108" s="1" t="n">
        <f aca="false">TRUE()</f>
        <v>1</v>
      </c>
      <c r="G108" s="1" t="n">
        <f aca="false">FALSE()</f>
        <v>0</v>
      </c>
      <c r="H108" s="1" t="n">
        <f aca="false">FALSE()</f>
        <v>0</v>
      </c>
      <c r="I108" s="1" t="n">
        <f aca="false">FALSE()</f>
        <v>0</v>
      </c>
      <c r="J108" s="1" t="n">
        <f aca="false">FALSE()</f>
        <v>0</v>
      </c>
      <c r="K108" s="0" t="n">
        <f aca="false">IFERROR(__xludf.dummyfunction("""COMPUTED_VALUE"""),139)</f>
        <v>139</v>
      </c>
    </row>
    <row r="109" customFormat="false" ht="15.75" hidden="false" customHeight="false" outlineLevel="0" collapsed="false">
      <c r="A109" s="0" t="str">
        <f aca="false">IFERROR(__xludf.dummyfunction("""COMPUTED_VALUE"""),"Орешин")</f>
        <v>Орешин</v>
      </c>
      <c r="B109" s="0" t="str">
        <f aca="false">IFERROR(__xludf.dummyfunction("""COMPUTED_VALUE"""),"Константин ")</f>
        <v>Константин</v>
      </c>
      <c r="C109" s="0" t="n">
        <f aca="false">IFERROR(__xludf.dummyfunction("""COMPUTED_VALUE"""),7)</f>
        <v>7</v>
      </c>
      <c r="D109" s="0" t="n">
        <f aca="false">IFERROR(__xludf.dummyfunction("""COMPUTED_VALUE"""),117)</f>
        <v>117</v>
      </c>
      <c r="E109" s="12" t="str">
        <f aca="false">IFERROR(__xludf.dummyfunction("""COMPUTED_VALUE"""),"Русское искусство")</f>
        <v>Русское искусство</v>
      </c>
      <c r="F109" s="1" t="n">
        <f aca="false">TRUE()</f>
        <v>1</v>
      </c>
      <c r="G109" s="1" t="n">
        <f aca="false">TRUE()</f>
        <v>1</v>
      </c>
      <c r="H109" s="1" t="n">
        <f aca="false">TRUE()</f>
        <v>1</v>
      </c>
      <c r="I109" s="1" t="n">
        <f aca="false">TRUE()</f>
        <v>1</v>
      </c>
      <c r="J109" s="1" t="n">
        <f aca="false">TRUE()</f>
        <v>1</v>
      </c>
      <c r="K109" s="0" t="n">
        <f aca="false">IFERROR(__xludf.dummyfunction("""COMPUTED_VALUE"""),58)</f>
        <v>58</v>
      </c>
    </row>
    <row r="110" customFormat="false" ht="15.75" hidden="false" customHeight="false" outlineLevel="0" collapsed="false">
      <c r="A110" s="0" t="str">
        <f aca="false">IFERROR(__xludf.dummyfunction("""COMPUTED_VALUE"""),"Рейсер")</f>
        <v>Рейсер</v>
      </c>
      <c r="B110" s="0" t="str">
        <f aca="false">IFERROR(__xludf.dummyfunction("""COMPUTED_VALUE"""),"Анастасия")</f>
        <v>Анастасия</v>
      </c>
      <c r="C110" s="0" t="n">
        <f aca="false">IFERROR(__xludf.dummyfunction("""COMPUTED_VALUE"""),7)</f>
        <v>7</v>
      </c>
      <c r="D110" s="0" t="n">
        <f aca="false">IFERROR(__xludf.dummyfunction("""COMPUTED_VALUE"""),117)</f>
        <v>117</v>
      </c>
      <c r="E110" s="12" t="str">
        <f aca="false">IFERROR(__xludf.dummyfunction("""COMPUTED_VALUE"""),"Русское искусство")</f>
        <v>Русское искусство</v>
      </c>
      <c r="F110" s="1" t="n">
        <f aca="false">FALSE()</f>
        <v>0</v>
      </c>
      <c r="G110" s="1" t="n">
        <f aca="false">FALSE()</f>
        <v>0</v>
      </c>
      <c r="H110" s="1" t="n">
        <f aca="false">FALSE()</f>
        <v>0</v>
      </c>
      <c r="I110" s="1" t="n">
        <f aca="false">FALSE()</f>
        <v>0</v>
      </c>
      <c r="J110" s="1" t="n">
        <f aca="false">FALSE()</f>
        <v>0</v>
      </c>
      <c r="K110" s="0" t="n">
        <f aca="false">IFERROR(__xludf.dummyfunction("""COMPUTED_VALUE"""),138)</f>
        <v>138</v>
      </c>
    </row>
    <row r="111" customFormat="false" ht="15.75" hidden="false" customHeight="false" outlineLevel="0" collapsed="false">
      <c r="A111" s="0" t="str">
        <f aca="false">IFERROR(__xludf.dummyfunction("""COMPUTED_VALUE"""),"Рождественская ")</f>
        <v>Рождественская</v>
      </c>
      <c r="B111" s="0" t="str">
        <f aca="false">IFERROR(__xludf.dummyfunction("""COMPUTED_VALUE"""),"Мария")</f>
        <v>Мария</v>
      </c>
      <c r="C111" s="0" t="n">
        <f aca="false">IFERROR(__xludf.dummyfunction("""COMPUTED_VALUE"""),10)</f>
        <v>10</v>
      </c>
      <c r="D111" s="0" t="n">
        <f aca="false">IFERROR(__xludf.dummyfunction("""COMPUTED_VALUE"""),117)</f>
        <v>117</v>
      </c>
      <c r="E111" s="12" t="str">
        <f aca="false">IFERROR(__xludf.dummyfunction("""COMPUTED_VALUE"""),"Русское искусство")</f>
        <v>Русское искусство</v>
      </c>
      <c r="F111" s="1" t="n">
        <f aca="false">FALSE()</f>
        <v>0</v>
      </c>
      <c r="G111" s="1" t="n">
        <f aca="false">FALSE()</f>
        <v>0</v>
      </c>
      <c r="H111" s="1" t="n">
        <f aca="false">FALSE()</f>
        <v>0</v>
      </c>
      <c r="I111" s="1" t="n">
        <f aca="false">FALSE()</f>
        <v>0</v>
      </c>
      <c r="J111" s="1" t="n">
        <f aca="false">FALSE()</f>
        <v>0</v>
      </c>
      <c r="K111" s="0" t="n">
        <f aca="false">IFERROR(__xludf.dummyfunction("""COMPUTED_VALUE"""),17)</f>
        <v>17</v>
      </c>
    </row>
    <row r="112" customFormat="false" ht="15.75" hidden="false" customHeight="false" outlineLevel="0" collapsed="false">
      <c r="A112" s="0" t="str">
        <f aca="false">IFERROR(__xludf.dummyfunction("""COMPUTED_VALUE"""),"Савиных")</f>
        <v>Савиных</v>
      </c>
      <c r="B112" s="0" t="str">
        <f aca="false">IFERROR(__xludf.dummyfunction("""COMPUTED_VALUE"""),"Кристина")</f>
        <v>Кристина</v>
      </c>
      <c r="C112" s="0" t="n">
        <f aca="false">IFERROR(__xludf.dummyfunction("""COMPUTED_VALUE"""),9)</f>
        <v>9</v>
      </c>
      <c r="D112" s="0" t="n">
        <f aca="false">IFERROR(__xludf.dummyfunction("""COMPUTED_VALUE"""),139)</f>
        <v>139</v>
      </c>
      <c r="E112" s="12" t="str">
        <f aca="false">IFERROR(__xludf.dummyfunction("""COMPUTED_VALUE"""),"Русское искусство")</f>
        <v>Русское искусство</v>
      </c>
      <c r="F112" s="1" t="n">
        <f aca="false">TRUE()</f>
        <v>1</v>
      </c>
      <c r="G112" s="1" t="n">
        <f aca="false">TRUE()</f>
        <v>1</v>
      </c>
      <c r="H112" s="1" t="n">
        <f aca="false">TRUE()</f>
        <v>1</v>
      </c>
      <c r="I112" s="1" t="n">
        <f aca="false">TRUE()</f>
        <v>1</v>
      </c>
      <c r="J112" s="1" t="n">
        <f aca="false">TRUE()</f>
        <v>1</v>
      </c>
      <c r="K112" s="0" t="n">
        <f aca="false">IFERROR(__xludf.dummyfunction("""COMPUTED_VALUE"""),148)</f>
        <v>148</v>
      </c>
    </row>
    <row r="113" customFormat="false" ht="15.75" hidden="false" customHeight="false" outlineLevel="0" collapsed="false">
      <c r="A113" s="0" t="str">
        <f aca="false">IFERROR(__xludf.dummyfunction("""COMPUTED_VALUE"""),"Сим")</f>
        <v>Сим</v>
      </c>
      <c r="B113" s="0" t="str">
        <f aca="false">IFERROR(__xludf.dummyfunction("""COMPUTED_VALUE"""),"Алина")</f>
        <v>Алина</v>
      </c>
      <c r="C113" s="0" t="n">
        <f aca="false">IFERROR(__xludf.dummyfunction("""COMPUTED_VALUE"""),8)</f>
        <v>8</v>
      </c>
      <c r="D113" s="0" t="n">
        <f aca="false">IFERROR(__xludf.dummyfunction("""COMPUTED_VALUE"""),117)</f>
        <v>117</v>
      </c>
      <c r="E113" s="12" t="str">
        <f aca="false">IFERROR(__xludf.dummyfunction("""COMPUTED_VALUE"""),"Русское искусство")</f>
        <v>Русское искусство</v>
      </c>
      <c r="F113" s="1" t="n">
        <f aca="false">FALSE()</f>
        <v>0</v>
      </c>
      <c r="G113" s="1" t="n">
        <f aca="false">FALSE()</f>
        <v>0</v>
      </c>
      <c r="H113" s="1" t="n">
        <f aca="false">FALSE()</f>
        <v>0</v>
      </c>
      <c r="I113" s="1" t="n">
        <f aca="false">FALSE()</f>
        <v>0</v>
      </c>
      <c r="J113" s="1" t="n">
        <f aca="false">FALSE()</f>
        <v>0</v>
      </c>
      <c r="K113" s="0" t="n">
        <f aca="false">IFERROR(__xludf.dummyfunction("""COMPUTED_VALUE"""),122)</f>
        <v>122</v>
      </c>
    </row>
    <row r="114" customFormat="false" ht="15.75" hidden="false" customHeight="false" outlineLevel="0" collapsed="false">
      <c r="A114" s="0" t="str">
        <f aca="false">IFERROR(__xludf.dummyfunction("""COMPUTED_VALUE"""),"Суханова")</f>
        <v>Суханова</v>
      </c>
      <c r="B114" s="0" t="str">
        <f aca="false">IFERROR(__xludf.dummyfunction("""COMPUTED_VALUE"""),"Алёна ")</f>
        <v>Алёна</v>
      </c>
      <c r="C114" s="0" t="n">
        <f aca="false">IFERROR(__xludf.dummyfunction("""COMPUTED_VALUE"""),7)</f>
        <v>7</v>
      </c>
      <c r="D114" s="0" t="n">
        <f aca="false">IFERROR(__xludf.dummyfunction("""COMPUTED_VALUE"""),140)</f>
        <v>140</v>
      </c>
      <c r="E114" s="12" t="str">
        <f aca="false">IFERROR(__xludf.dummyfunction("""COMPUTED_VALUE"""),"Русское искусство")</f>
        <v>Русское искусство</v>
      </c>
      <c r="F114" s="1" t="n">
        <f aca="false">TRUE()</f>
        <v>1</v>
      </c>
      <c r="G114" s="1" t="n">
        <f aca="false">TRUE()</f>
        <v>1</v>
      </c>
      <c r="H114" s="1" t="n">
        <f aca="false">FALSE()</f>
        <v>0</v>
      </c>
      <c r="I114" s="1" t="n">
        <f aca="false">TRUE()</f>
        <v>1</v>
      </c>
      <c r="J114" s="1" t="n">
        <f aca="false">TRUE()</f>
        <v>1</v>
      </c>
      <c r="K114" s="0" t="n">
        <f aca="false">IFERROR(__xludf.dummyfunction("""COMPUTED_VALUE"""),115)</f>
        <v>115</v>
      </c>
    </row>
    <row r="115" customFormat="false" ht="15.75" hidden="false" customHeight="false" outlineLevel="0" collapsed="false">
      <c r="A115" s="0" t="str">
        <f aca="false">IFERROR(__xludf.dummyfunction("""COMPUTED_VALUE"""),"Ткаченко")</f>
        <v>Ткаченко</v>
      </c>
      <c r="B115" s="0" t="str">
        <f aca="false">IFERROR(__xludf.dummyfunction("""COMPUTED_VALUE"""),"Юлия")</f>
        <v>Юлия</v>
      </c>
      <c r="C115" s="0" t="n">
        <f aca="false">IFERROR(__xludf.dummyfunction("""COMPUTED_VALUE"""),9)</f>
        <v>9</v>
      </c>
      <c r="D115" s="0" t="n">
        <f aca="false">IFERROR(__xludf.dummyfunction("""COMPUTED_VALUE"""),139)</f>
        <v>139</v>
      </c>
      <c r="E115" s="12" t="str">
        <f aca="false">IFERROR(__xludf.dummyfunction("""COMPUTED_VALUE"""),"Русское искусство")</f>
        <v>Русское искусство</v>
      </c>
      <c r="F115" s="1" t="n">
        <f aca="false">TRUE()</f>
        <v>1</v>
      </c>
      <c r="G115" s="1" t="n">
        <f aca="false">TRUE()</f>
        <v>1</v>
      </c>
      <c r="H115" s="1" t="n">
        <f aca="false">TRUE()</f>
        <v>1</v>
      </c>
      <c r="I115" s="1" t="n">
        <f aca="false">TRUE()</f>
        <v>1</v>
      </c>
      <c r="J115" s="1" t="n">
        <f aca="false">TRUE()</f>
        <v>1</v>
      </c>
      <c r="K115" s="0" t="n">
        <f aca="false">IFERROR(__xludf.dummyfunction("""COMPUTED_VALUE"""),92)</f>
        <v>92</v>
      </c>
    </row>
    <row r="116" customFormat="false" ht="15.75" hidden="false" customHeight="false" outlineLevel="0" collapsed="false">
      <c r="A116" s="0" t="str">
        <f aca="false">IFERROR(__xludf.dummyfunction("""COMPUTED_VALUE"""),"Фазуллина")</f>
        <v>Фазуллина</v>
      </c>
      <c r="B116" s="0" t="str">
        <f aca="false">IFERROR(__xludf.dummyfunction("""COMPUTED_VALUE"""),"Яна")</f>
        <v>Яна</v>
      </c>
      <c r="C116" s="0" t="n">
        <f aca="false">IFERROR(__xludf.dummyfunction("""COMPUTED_VALUE"""),7)</f>
        <v>7</v>
      </c>
      <c r="D116" s="0" t="n">
        <f aca="false">IFERROR(__xludf.dummyfunction("""COMPUTED_VALUE"""),149)</f>
        <v>149</v>
      </c>
      <c r="E116" s="12" t="str">
        <f aca="false">IFERROR(__xludf.dummyfunction("""COMPUTED_VALUE"""),"Русское искусство")</f>
        <v>Русское искусство</v>
      </c>
      <c r="F116" s="1" t="n">
        <f aca="false">TRUE()</f>
        <v>1</v>
      </c>
      <c r="G116" s="1" t="n">
        <f aca="false">TRUE()</f>
        <v>1</v>
      </c>
      <c r="H116" s="1" t="n">
        <f aca="false">TRUE()</f>
        <v>1</v>
      </c>
      <c r="I116" s="1" t="n">
        <f aca="false">FALSE()</f>
        <v>0</v>
      </c>
      <c r="J116" s="1" t="n">
        <f aca="false">FALSE()</f>
        <v>0</v>
      </c>
      <c r="K116" s="0" t="n">
        <f aca="false">IFERROR(__xludf.dummyfunction("""COMPUTED_VALUE"""),129)</f>
        <v>129</v>
      </c>
    </row>
    <row r="117" customFormat="false" ht="15.75" hidden="false" customHeight="false" outlineLevel="0" collapsed="false">
      <c r="A117" s="0" t="str">
        <f aca="false">IFERROR(__xludf.dummyfunction("""COMPUTED_VALUE"""),"Фирстова")</f>
        <v>Фирстова</v>
      </c>
      <c r="B117" s="0" t="str">
        <f aca="false">IFERROR(__xludf.dummyfunction("""COMPUTED_VALUE"""),"Екатерина")</f>
        <v>Екатерина</v>
      </c>
      <c r="C117" s="0" t="n">
        <f aca="false">IFERROR(__xludf.dummyfunction("""COMPUTED_VALUE"""),10)</f>
        <v>10</v>
      </c>
      <c r="D117" s="0" t="n">
        <f aca="false">IFERROR(__xludf.dummyfunction("""COMPUTED_VALUE"""),64)</f>
        <v>64</v>
      </c>
      <c r="E117" s="12" t="str">
        <f aca="false">IFERROR(__xludf.dummyfunction("""COMPUTED_VALUE"""),"Русское искусство")</f>
        <v>Русское искусство</v>
      </c>
      <c r="F117" s="1" t="n">
        <f aca="false">TRUE()</f>
        <v>1</v>
      </c>
      <c r="G117" s="1" t="n">
        <f aca="false">TRUE()</f>
        <v>1</v>
      </c>
      <c r="H117" s="1" t="n">
        <f aca="false">TRUE()</f>
        <v>1</v>
      </c>
      <c r="I117" s="1" t="n">
        <f aca="false">FALSE()</f>
        <v>0</v>
      </c>
      <c r="J117" s="1" t="n">
        <f aca="false">TRUE()</f>
        <v>1</v>
      </c>
      <c r="K117" s="0" t="n">
        <f aca="false">IFERROR(__xludf.dummyfunction("""COMPUTED_VALUE"""),40)</f>
        <v>40</v>
      </c>
    </row>
    <row r="118" customFormat="false" ht="15.75" hidden="false" customHeight="false" outlineLevel="0" collapsed="false">
      <c r="A118" s="0" t="str">
        <f aca="false">IFERROR(__xludf.dummyfunction("""COMPUTED_VALUE"""),"Шаповал")</f>
        <v>Шаповал</v>
      </c>
      <c r="B118" s="0" t="str">
        <f aca="false">IFERROR(__xludf.dummyfunction("""COMPUTED_VALUE"""),"Денис")</f>
        <v>Денис</v>
      </c>
      <c r="C118" s="0" t="n">
        <f aca="false">IFERROR(__xludf.dummyfunction("""COMPUTED_VALUE"""),9)</f>
        <v>9</v>
      </c>
      <c r="D118" s="0" t="n">
        <f aca="false">IFERROR(__xludf.dummyfunction("""COMPUTED_VALUE"""),150)</f>
        <v>150</v>
      </c>
      <c r="E118" s="12" t="str">
        <f aca="false">IFERROR(__xludf.dummyfunction("""COMPUTED_VALUE"""),"Русское искусство")</f>
        <v>Русское искусство</v>
      </c>
      <c r="F118" s="1" t="n">
        <f aca="false">TRUE()</f>
        <v>1</v>
      </c>
      <c r="G118" s="1" t="n">
        <f aca="false">FALSE()</f>
        <v>0</v>
      </c>
      <c r="H118" s="1" t="n">
        <f aca="false">TRUE()</f>
        <v>1</v>
      </c>
      <c r="I118" s="1" t="n">
        <f aca="false">TRUE()</f>
        <v>1</v>
      </c>
      <c r="J118" s="1" t="n">
        <f aca="false">TRUE()</f>
        <v>1</v>
      </c>
      <c r="K118" s="0" t="n">
        <f aca="false">IFERROR(__xludf.dummyfunction("""COMPUTED_VALUE"""),84)</f>
        <v>84</v>
      </c>
    </row>
    <row r="119" customFormat="false" ht="15.75" hidden="false" customHeight="false" outlineLevel="0" collapsed="false">
      <c r="A119" s="0" t="str">
        <f aca="false">IFERROR(__xludf.dummyfunction("""COMPUTED_VALUE"""),"Васильев")</f>
        <v>Васильев</v>
      </c>
      <c r="B119" s="0" t="str">
        <f aca="false">IFERROR(__xludf.dummyfunction("""COMPUTED_VALUE"""),"Даниил")</f>
        <v>Даниил</v>
      </c>
      <c r="C119" s="0" t="n">
        <f aca="false">IFERROR(__xludf.dummyfunction("""COMPUTED_VALUE"""),9)</f>
        <v>9</v>
      </c>
      <c r="D119" s="0" t="n">
        <f aca="false">IFERROR(__xludf.dummyfunction("""COMPUTED_VALUE"""),117)</f>
        <v>117</v>
      </c>
      <c r="E119" s="12" t="str">
        <f aca="false">IFERROR(__xludf.dummyfunction("""COMPUTED_VALUE"""),"Теория большого математика")</f>
        <v>Теория большого математика</v>
      </c>
      <c r="F119" s="1" t="n">
        <f aca="false">TRUE()</f>
        <v>1</v>
      </c>
      <c r="G119" s="1" t="n">
        <f aca="false">TRUE()</f>
        <v>1</v>
      </c>
      <c r="H119" s="1" t="n">
        <f aca="false">TRUE()</f>
        <v>1</v>
      </c>
      <c r="I119" s="1" t="n">
        <f aca="false">TRUE()</f>
        <v>1</v>
      </c>
      <c r="J119" s="1" t="n">
        <f aca="false">TRUE()</f>
        <v>1</v>
      </c>
      <c r="K119" s="0" t="n">
        <f aca="false">IFERROR(__xludf.dummyfunction("""COMPUTED_VALUE"""),140)</f>
        <v>140</v>
      </c>
    </row>
    <row r="120" customFormat="false" ht="15.75" hidden="false" customHeight="false" outlineLevel="0" collapsed="false">
      <c r="A120" s="0" t="str">
        <f aca="false">IFERROR(__xludf.dummyfunction("""COMPUTED_VALUE"""),"Винтер")</f>
        <v>Винтер</v>
      </c>
      <c r="B120" s="0" t="str">
        <f aca="false">IFERROR(__xludf.dummyfunction("""COMPUTED_VALUE"""),"Кирилл")</f>
        <v>Кирилл</v>
      </c>
      <c r="C120" s="0" t="n">
        <f aca="false">IFERROR(__xludf.dummyfunction("""COMPUTED_VALUE"""),8)</f>
        <v>8</v>
      </c>
      <c r="D120" s="0" t="n">
        <f aca="false">IFERROR(__xludf.dummyfunction("""COMPUTED_VALUE"""),117)</f>
        <v>117</v>
      </c>
      <c r="E120" s="12" t="str">
        <f aca="false">IFERROR(__xludf.dummyfunction("""COMPUTED_VALUE"""),"Теория большого математика")</f>
        <v>Теория большого математика</v>
      </c>
      <c r="F120" s="1" t="n">
        <f aca="false">TRUE()</f>
        <v>1</v>
      </c>
      <c r="G120" s="1" t="n">
        <f aca="false">TRUE()</f>
        <v>1</v>
      </c>
      <c r="H120" s="1" t="n">
        <f aca="false">TRUE()</f>
        <v>1</v>
      </c>
      <c r="I120" s="1" t="n">
        <f aca="false">TRUE()</f>
        <v>1</v>
      </c>
      <c r="J120" s="1" t="n">
        <f aca="false">TRUE()</f>
        <v>1</v>
      </c>
      <c r="K120" s="0" t="n">
        <f aca="false">IFERROR(__xludf.dummyfunction("""COMPUTED_VALUE"""),153)</f>
        <v>153</v>
      </c>
    </row>
    <row r="121" customFormat="false" ht="15.75" hidden="false" customHeight="false" outlineLevel="0" collapsed="false">
      <c r="A121" s="0" t="str">
        <f aca="false">IFERROR(__xludf.dummyfunction("""COMPUTED_VALUE"""),"Власенко")</f>
        <v>Власенко</v>
      </c>
      <c r="B121" s="0" t="str">
        <f aca="false">IFERROR(__xludf.dummyfunction("""COMPUTED_VALUE"""),"Иван")</f>
        <v>Иван</v>
      </c>
      <c r="C121" s="0" t="n">
        <f aca="false">IFERROR(__xludf.dummyfunction("""COMPUTED_VALUE"""),8)</f>
        <v>8</v>
      </c>
      <c r="D121" s="0" t="n">
        <f aca="false">IFERROR(__xludf.dummyfunction("""COMPUTED_VALUE"""),84)</f>
        <v>84</v>
      </c>
      <c r="E121" s="12" t="str">
        <f aca="false">IFERROR(__xludf.dummyfunction("""COMPUTED_VALUE"""),"Теория большого математика")</f>
        <v>Теория большого математика</v>
      </c>
      <c r="F121" s="1" t="n">
        <f aca="false">FALSE()</f>
        <v>0</v>
      </c>
      <c r="G121" s="1" t="n">
        <f aca="false">FALSE()</f>
        <v>0</v>
      </c>
      <c r="H121" s="1" t="n">
        <f aca="false">FALSE()</f>
        <v>0</v>
      </c>
      <c r="I121" s="1" t="n">
        <f aca="false">FALSE()</f>
        <v>0</v>
      </c>
      <c r="J121" s="1" t="n">
        <f aca="false">FALSE()</f>
        <v>0</v>
      </c>
      <c r="K121" s="0" t="n">
        <f aca="false">IFERROR(__xludf.dummyfunction("""COMPUTED_VALUE"""),107)</f>
        <v>107</v>
      </c>
    </row>
    <row r="122" customFormat="false" ht="15.75" hidden="false" customHeight="false" outlineLevel="0" collapsed="false">
      <c r="A122" s="0" t="str">
        <f aca="false">IFERROR(__xludf.dummyfunction("""COMPUTED_VALUE"""),"Евстратенко")</f>
        <v>Евстратенко</v>
      </c>
      <c r="B122" s="0" t="str">
        <f aca="false">IFERROR(__xludf.dummyfunction("""COMPUTED_VALUE"""),"Екатерина")</f>
        <v>Екатерина</v>
      </c>
      <c r="C122" s="0" t="n">
        <f aca="false">IFERROR(__xludf.dummyfunction("""COMPUTED_VALUE"""),9)</f>
        <v>9</v>
      </c>
      <c r="D122" s="0" t="n">
        <f aca="false">IFERROR(__xludf.dummyfunction("""COMPUTED_VALUE"""),117)</f>
        <v>117</v>
      </c>
      <c r="E122" s="12" t="str">
        <f aca="false">IFERROR(__xludf.dummyfunction("""COMPUTED_VALUE"""),"Теория большого математика")</f>
        <v>Теория большого математика</v>
      </c>
      <c r="F122" s="1" t="n">
        <f aca="false">FALSE()</f>
        <v>0</v>
      </c>
      <c r="G122" s="1" t="n">
        <f aca="false">FALSE()</f>
        <v>0</v>
      </c>
      <c r="H122" s="1" t="n">
        <f aca="false">FALSE()</f>
        <v>0</v>
      </c>
      <c r="I122" s="1" t="n">
        <f aca="false">FALSE()</f>
        <v>0</v>
      </c>
      <c r="J122" s="1" t="n">
        <f aca="false">FALSE()</f>
        <v>0</v>
      </c>
      <c r="K122" s="0" t="n">
        <f aca="false">IFERROR(__xludf.dummyfunction("""COMPUTED_VALUE"""),136)</f>
        <v>136</v>
      </c>
    </row>
    <row r="123" customFormat="false" ht="15.75" hidden="false" customHeight="false" outlineLevel="0" collapsed="false">
      <c r="A123" s="0" t="str">
        <f aca="false">IFERROR(__xludf.dummyfunction("""COMPUTED_VALUE"""),"Жунусов")</f>
        <v>Жунусов</v>
      </c>
      <c r="B123" s="0" t="str">
        <f aca="false">IFERROR(__xludf.dummyfunction("""COMPUTED_VALUE"""),"Евгений")</f>
        <v>Евгений</v>
      </c>
      <c r="C123" s="0" t="n">
        <f aca="false">IFERROR(__xludf.dummyfunction("""COMPUTED_VALUE"""),8)</f>
        <v>8</v>
      </c>
      <c r="D123" s="0" t="n">
        <f aca="false">IFERROR(__xludf.dummyfunction("""COMPUTED_VALUE"""),109)</f>
        <v>109</v>
      </c>
      <c r="E123" s="12" t="str">
        <f aca="false">IFERROR(__xludf.dummyfunction("""COMPUTED_VALUE"""),"Теория большого математика")</f>
        <v>Теория большого математика</v>
      </c>
      <c r="F123" s="1" t="n">
        <f aca="false">TRUE()</f>
        <v>1</v>
      </c>
      <c r="G123" s="1" t="n">
        <f aca="false">TRUE()</f>
        <v>1</v>
      </c>
      <c r="H123" s="1" t="n">
        <f aca="false">TRUE()</f>
        <v>1</v>
      </c>
      <c r="I123" s="1" t="n">
        <f aca="false">TRUE()</f>
        <v>1</v>
      </c>
      <c r="J123" s="1" t="n">
        <f aca="false">TRUE()</f>
        <v>1</v>
      </c>
      <c r="K123" s="0" t="n">
        <f aca="false">IFERROR(__xludf.dummyfunction("""COMPUTED_VALUE"""),156)</f>
        <v>156</v>
      </c>
    </row>
    <row r="124" customFormat="false" ht="15.75" hidden="false" customHeight="false" outlineLevel="0" collapsed="false">
      <c r="A124" s="0" t="str">
        <f aca="false">IFERROR(__xludf.dummyfunction("""COMPUTED_VALUE"""),"Измайлов")</f>
        <v>Измайлов</v>
      </c>
      <c r="B124" s="0" t="str">
        <f aca="false">IFERROR(__xludf.dummyfunction("""COMPUTED_VALUE"""),"Матвей")</f>
        <v>Матвей</v>
      </c>
      <c r="C124" s="0" t="n">
        <f aca="false">IFERROR(__xludf.dummyfunction("""COMPUTED_VALUE"""),10)</f>
        <v>10</v>
      </c>
      <c r="D124" s="0" t="n">
        <f aca="false">IFERROR(__xludf.dummyfunction("""COMPUTED_VALUE"""),64)</f>
        <v>64</v>
      </c>
      <c r="E124" s="12" t="str">
        <f aca="false">IFERROR(__xludf.dummyfunction("""COMPUTED_VALUE"""),"Теория большого математика")</f>
        <v>Теория большого математика</v>
      </c>
      <c r="F124" s="1" t="n">
        <f aca="false">TRUE()</f>
        <v>1</v>
      </c>
      <c r="G124" s="1" t="n">
        <f aca="false">TRUE()</f>
        <v>1</v>
      </c>
      <c r="H124" s="1" t="n">
        <f aca="false">TRUE()</f>
        <v>1</v>
      </c>
      <c r="I124" s="1" t="n">
        <f aca="false">TRUE()</f>
        <v>1</v>
      </c>
      <c r="J124" s="1" t="n">
        <f aca="false">FALSE()</f>
        <v>0</v>
      </c>
      <c r="K124" s="0" t="n">
        <f aca="false">IFERROR(__xludf.dummyfunction("""COMPUTED_VALUE"""),57)</f>
        <v>57</v>
      </c>
    </row>
    <row r="125" customFormat="false" ht="15.75" hidden="false" customHeight="false" outlineLevel="0" collapsed="false">
      <c r="A125" s="0" t="str">
        <f aca="false">IFERROR(__xludf.dummyfunction("""COMPUTED_VALUE"""),"Климова ")</f>
        <v>Климова</v>
      </c>
      <c r="B125" s="0" t="str">
        <f aca="false">IFERROR(__xludf.dummyfunction("""COMPUTED_VALUE"""),"Анна")</f>
        <v>Анна</v>
      </c>
      <c r="C125" s="0" t="n">
        <f aca="false">IFERROR(__xludf.dummyfunction("""COMPUTED_VALUE"""),8)</f>
        <v>8</v>
      </c>
      <c r="D125" s="0" t="n">
        <f aca="false">IFERROR(__xludf.dummyfunction("""COMPUTED_VALUE"""),117)</f>
        <v>117</v>
      </c>
      <c r="E125" s="12" t="str">
        <f aca="false">IFERROR(__xludf.dummyfunction("""COMPUTED_VALUE"""),"Теория большого математика")</f>
        <v>Теория большого математика</v>
      </c>
      <c r="F125" s="1" t="n">
        <f aca="false">TRUE()</f>
        <v>1</v>
      </c>
      <c r="G125" s="1" t="n">
        <f aca="false">TRUE()</f>
        <v>1</v>
      </c>
      <c r="H125" s="1" t="n">
        <f aca="false">TRUE()</f>
        <v>1</v>
      </c>
      <c r="I125" s="1" t="n">
        <f aca="false">TRUE()</f>
        <v>1</v>
      </c>
      <c r="J125" s="1" t="n">
        <f aca="false">TRUE()</f>
        <v>1</v>
      </c>
      <c r="K125" s="0" t="n">
        <f aca="false">IFERROR(__xludf.dummyfunction("""COMPUTED_VALUE"""),154)</f>
        <v>154</v>
      </c>
    </row>
    <row r="126" customFormat="false" ht="15.75" hidden="false" customHeight="false" outlineLevel="0" collapsed="false">
      <c r="A126" s="0" t="str">
        <f aca="false">IFERROR(__xludf.dummyfunction("""COMPUTED_VALUE"""),"Ладынская")</f>
        <v>Ладынская</v>
      </c>
      <c r="B126" s="0" t="str">
        <f aca="false">IFERROR(__xludf.dummyfunction("""COMPUTED_VALUE"""),"Дарья")</f>
        <v>Дарья</v>
      </c>
      <c r="C126" s="0" t="n">
        <f aca="false">IFERROR(__xludf.dummyfunction("""COMPUTED_VALUE"""),8)</f>
        <v>8</v>
      </c>
      <c r="D126" s="0" t="n">
        <f aca="false">IFERROR(__xludf.dummyfunction("""COMPUTED_VALUE"""),36)</f>
        <v>36</v>
      </c>
      <c r="E126" s="12" t="str">
        <f aca="false">IFERROR(__xludf.dummyfunction("""COMPUTED_VALUE"""),"Теория большого математика")</f>
        <v>Теория большого математика</v>
      </c>
      <c r="F126" s="1" t="n">
        <f aca="false">TRUE()</f>
        <v>1</v>
      </c>
      <c r="G126" s="1" t="n">
        <f aca="false">TRUE()</f>
        <v>1</v>
      </c>
      <c r="H126" s="1" t="n">
        <f aca="false">TRUE()</f>
        <v>1</v>
      </c>
      <c r="I126" s="1" t="n">
        <f aca="false">TRUE()</f>
        <v>1</v>
      </c>
      <c r="J126" s="1" t="n">
        <f aca="false">TRUE()</f>
        <v>1</v>
      </c>
      <c r="K126" s="0" t="n">
        <f aca="false">IFERROR(__xludf.dummyfunction("""COMPUTED_VALUE"""),123)</f>
        <v>123</v>
      </c>
    </row>
    <row r="127" customFormat="false" ht="15.75" hidden="false" customHeight="false" outlineLevel="0" collapsed="false">
      <c r="A127" s="0" t="str">
        <f aca="false">IFERROR(__xludf.dummyfunction("""COMPUTED_VALUE"""),"Локтионова")</f>
        <v>Локтионова</v>
      </c>
      <c r="B127" s="0" t="str">
        <f aca="false">IFERROR(__xludf.dummyfunction("""COMPUTED_VALUE"""),"Даниэла")</f>
        <v>Даниэла</v>
      </c>
      <c r="C127" s="0" t="n">
        <f aca="false">IFERROR(__xludf.dummyfunction("""COMPUTED_VALUE"""),10)</f>
        <v>10</v>
      </c>
      <c r="D127" s="0" t="n">
        <f aca="false">IFERROR(__xludf.dummyfunction("""COMPUTED_VALUE"""),64)</f>
        <v>64</v>
      </c>
      <c r="E127" s="12" t="str">
        <f aca="false">IFERROR(__xludf.dummyfunction("""COMPUTED_VALUE"""),"Теория большого математика")</f>
        <v>Теория большого математика</v>
      </c>
      <c r="F127" s="1" t="n">
        <f aca="false">TRUE()</f>
        <v>1</v>
      </c>
      <c r="G127" s="1" t="n">
        <f aca="false">TRUE()</f>
        <v>1</v>
      </c>
      <c r="H127" s="1" t="n">
        <f aca="false">FALSE()</f>
        <v>0</v>
      </c>
      <c r="I127" s="1" t="n">
        <f aca="false">TRUE()</f>
        <v>1</v>
      </c>
      <c r="J127" s="1" t="n">
        <f aca="false">TRUE()</f>
        <v>1</v>
      </c>
      <c r="K127" s="0" t="n">
        <f aca="false">IFERROR(__xludf.dummyfunction("""COMPUTED_VALUE"""),67)</f>
        <v>67</v>
      </c>
    </row>
    <row r="128" customFormat="false" ht="15.75" hidden="false" customHeight="false" outlineLevel="0" collapsed="false">
      <c r="A128" s="0" t="str">
        <f aca="false">IFERROR(__xludf.dummyfunction("""COMPUTED_VALUE"""),"Лощинин")</f>
        <v>Лощинин</v>
      </c>
      <c r="B128" s="0" t="str">
        <f aca="false">IFERROR(__xludf.dummyfunction("""COMPUTED_VALUE"""),"Олег")</f>
        <v>Олег</v>
      </c>
      <c r="C128" s="0" t="n">
        <f aca="false">IFERROR(__xludf.dummyfunction("""COMPUTED_VALUE"""),8)</f>
        <v>8</v>
      </c>
      <c r="D128" s="0" t="n">
        <f aca="false">IFERROR(__xludf.dummyfunction("""COMPUTED_VALUE"""),117)</f>
        <v>117</v>
      </c>
      <c r="E128" s="12" t="str">
        <f aca="false">IFERROR(__xludf.dummyfunction("""COMPUTED_VALUE"""),"Теория большого математика")</f>
        <v>Теория большого математика</v>
      </c>
      <c r="F128" s="1" t="n">
        <f aca="false">FALSE()</f>
        <v>0</v>
      </c>
      <c r="G128" s="1" t="n">
        <f aca="false">FALSE()</f>
        <v>0</v>
      </c>
      <c r="H128" s="1" t="n">
        <f aca="false">TRUE()</f>
        <v>1</v>
      </c>
      <c r="I128" s="1" t="n">
        <f aca="false">FALSE()</f>
        <v>0</v>
      </c>
      <c r="J128" s="1" t="n">
        <f aca="false">TRUE()</f>
        <v>1</v>
      </c>
      <c r="K128" s="0" t="n">
        <f aca="false">IFERROR(__xludf.dummyfunction("""COMPUTED_VALUE"""),152)</f>
        <v>152</v>
      </c>
    </row>
    <row r="129" customFormat="false" ht="15.75" hidden="false" customHeight="false" outlineLevel="0" collapsed="false">
      <c r="A129" s="0" t="str">
        <f aca="false">IFERROR(__xludf.dummyfunction("""COMPUTED_VALUE"""),"Перевальская")</f>
        <v>Перевальская</v>
      </c>
      <c r="B129" s="0" t="str">
        <f aca="false">IFERROR(__xludf.dummyfunction("""COMPUTED_VALUE"""),"Алена")</f>
        <v>Алена</v>
      </c>
      <c r="C129" s="0" t="n">
        <f aca="false">IFERROR(__xludf.dummyfunction("""COMPUTED_VALUE"""),8)</f>
        <v>8</v>
      </c>
      <c r="D129" s="0" t="n">
        <f aca="false">IFERROR(__xludf.dummyfunction("""COMPUTED_VALUE"""),117)</f>
        <v>117</v>
      </c>
      <c r="E129" s="12" t="str">
        <f aca="false">IFERROR(__xludf.dummyfunction("""COMPUTED_VALUE"""),"Теория большого математика")</f>
        <v>Теория большого математика</v>
      </c>
      <c r="F129" s="1" t="n">
        <f aca="false">TRUE()</f>
        <v>1</v>
      </c>
      <c r="G129" s="1" t="n">
        <f aca="false">TRUE()</f>
        <v>1</v>
      </c>
      <c r="H129" s="1" t="n">
        <f aca="false">TRUE()</f>
        <v>1</v>
      </c>
      <c r="I129" s="1" t="n">
        <f aca="false">TRUE()</f>
        <v>1</v>
      </c>
      <c r="J129" s="1" t="n">
        <f aca="false">TRUE()</f>
        <v>1</v>
      </c>
      <c r="K129" s="0" t="n">
        <f aca="false">IFERROR(__xludf.dummyfunction("""COMPUTED_VALUE"""),157)</f>
        <v>157</v>
      </c>
    </row>
    <row r="130" customFormat="false" ht="15.75" hidden="false" customHeight="false" outlineLevel="0" collapsed="false">
      <c r="A130" s="0" t="str">
        <f aca="false">IFERROR(__xludf.dummyfunction("""COMPUTED_VALUE"""),"Подворная")</f>
        <v>Подворная</v>
      </c>
      <c r="B130" s="0" t="str">
        <f aca="false">IFERROR(__xludf.dummyfunction("""COMPUTED_VALUE"""),"Кристина")</f>
        <v>Кристина</v>
      </c>
      <c r="C130" s="0" t="n">
        <f aca="false">IFERROR(__xludf.dummyfunction("""COMPUTED_VALUE"""),8)</f>
        <v>8</v>
      </c>
      <c r="D130" s="0" t="n">
        <f aca="false">IFERROR(__xludf.dummyfunction("""COMPUTED_VALUE"""),117)</f>
        <v>117</v>
      </c>
      <c r="E130" s="12" t="str">
        <f aca="false">IFERROR(__xludf.dummyfunction("""COMPUTED_VALUE"""),"Теория большого математика")</f>
        <v>Теория большого математика</v>
      </c>
      <c r="F130" s="1" t="n">
        <f aca="false">TRUE()</f>
        <v>1</v>
      </c>
      <c r="G130" s="1" t="n">
        <f aca="false">TRUE()</f>
        <v>1</v>
      </c>
      <c r="H130" s="1" t="n">
        <f aca="false">TRUE()</f>
        <v>1</v>
      </c>
      <c r="I130" s="1" t="n">
        <f aca="false">TRUE()</f>
        <v>1</v>
      </c>
      <c r="J130" s="1" t="n">
        <f aca="false">TRUE()</f>
        <v>1</v>
      </c>
      <c r="K130" s="0" t="n">
        <f aca="false">IFERROR(__xludf.dummyfunction("""COMPUTED_VALUE"""),160)</f>
        <v>160</v>
      </c>
    </row>
    <row r="131" customFormat="false" ht="15.75" hidden="false" customHeight="false" outlineLevel="0" collapsed="false">
      <c r="A131" s="0" t="str">
        <f aca="false">IFERROR(__xludf.dummyfunction("""COMPUTED_VALUE"""),"Пьянзин")</f>
        <v>Пьянзин</v>
      </c>
      <c r="B131" s="0" t="str">
        <f aca="false">IFERROR(__xludf.dummyfunction("""COMPUTED_VALUE"""),"Богдан")</f>
        <v>Богдан</v>
      </c>
      <c r="C131" s="0" t="n">
        <f aca="false">IFERROR(__xludf.dummyfunction("""COMPUTED_VALUE"""),8)</f>
        <v>8</v>
      </c>
      <c r="D131" s="0" t="n">
        <f aca="false">IFERROR(__xludf.dummyfunction("""COMPUTED_VALUE"""),117)</f>
        <v>117</v>
      </c>
      <c r="E131" s="12" t="str">
        <f aca="false">IFERROR(__xludf.dummyfunction("""COMPUTED_VALUE"""),"Теория большого математика")</f>
        <v>Теория большого математика</v>
      </c>
      <c r="F131" s="1" t="n">
        <f aca="false">TRUE()</f>
        <v>1</v>
      </c>
      <c r="G131" s="1" t="n">
        <f aca="false">TRUE()</f>
        <v>1</v>
      </c>
      <c r="H131" s="1" t="n">
        <f aca="false">FALSE()</f>
        <v>0</v>
      </c>
      <c r="I131" s="1" t="n">
        <f aca="false">TRUE()</f>
        <v>1</v>
      </c>
      <c r="J131" s="1" t="n">
        <f aca="false">TRUE()</f>
        <v>1</v>
      </c>
      <c r="K131" s="0" t="n">
        <f aca="false">IFERROR(__xludf.dummyfunction("""COMPUTED_VALUE"""),97)</f>
        <v>97</v>
      </c>
    </row>
    <row r="132" customFormat="false" ht="15.75" hidden="false" customHeight="false" outlineLevel="0" collapsed="false">
      <c r="A132" s="0" t="str">
        <f aca="false">IFERROR(__xludf.dummyfunction("""COMPUTED_VALUE"""),"Самохвалова")</f>
        <v>Самохвалова</v>
      </c>
      <c r="B132" s="0" t="str">
        <f aca="false">IFERROR(__xludf.dummyfunction("""COMPUTED_VALUE"""),"Ксения")</f>
        <v>Ксения</v>
      </c>
      <c r="C132" s="0" t="n">
        <f aca="false">IFERROR(__xludf.dummyfunction("""COMPUTED_VALUE"""),9)</f>
        <v>9</v>
      </c>
      <c r="D132" s="0" t="str">
        <f aca="false">IFERROR(__xludf.dummyfunction("""COMPUTED_VALUE"""),"Академический лицей")</f>
        <v>Академический лицей</v>
      </c>
      <c r="E132" s="12" t="str">
        <f aca="false">IFERROR(__xludf.dummyfunction("""COMPUTED_VALUE"""),"Теория большого математика")</f>
        <v>Теория большого математика</v>
      </c>
      <c r="F132" s="1" t="n">
        <f aca="false">FALSE()</f>
        <v>0</v>
      </c>
      <c r="G132" s="1" t="n">
        <f aca="false">FALSE()</f>
        <v>0</v>
      </c>
      <c r="H132" s="1" t="n">
        <f aca="false">FALSE()</f>
        <v>0</v>
      </c>
      <c r="I132" s="1" t="n">
        <f aca="false">FALSE()</f>
        <v>0</v>
      </c>
      <c r="J132" s="1" t="n">
        <f aca="false">FALSE()</f>
        <v>0</v>
      </c>
      <c r="K132" s="0" t="n">
        <f aca="false">IFERROR(__xludf.dummyfunction("""COMPUTED_VALUE"""),119)</f>
        <v>119</v>
      </c>
    </row>
    <row r="133" customFormat="false" ht="15.75" hidden="false" customHeight="false" outlineLevel="0" collapsed="false">
      <c r="A133" s="0" t="str">
        <f aca="false">IFERROR(__xludf.dummyfunction("""COMPUTED_VALUE"""),"Синельникова ")</f>
        <v>Синельникова</v>
      </c>
      <c r="B133" s="0" t="str">
        <f aca="false">IFERROR(__xludf.dummyfunction("""COMPUTED_VALUE"""),"Поля")</f>
        <v>Поля</v>
      </c>
      <c r="C133" s="0" t="n">
        <f aca="false">IFERROR(__xludf.dummyfunction("""COMPUTED_VALUE"""),11)</f>
        <v>11</v>
      </c>
      <c r="D133" s="0" t="n">
        <f aca="false">IFERROR(__xludf.dummyfunction("""COMPUTED_VALUE"""),19)</f>
        <v>19</v>
      </c>
      <c r="E133" s="12" t="str">
        <f aca="false">IFERROR(__xludf.dummyfunction("""COMPUTED_VALUE"""),"Теория большого математика")</f>
        <v>Теория большого математика</v>
      </c>
      <c r="F133" s="1" t="n">
        <f aca="false">TRUE()</f>
        <v>1</v>
      </c>
      <c r="G133" s="1" t="n">
        <f aca="false">FALSE()</f>
        <v>0</v>
      </c>
      <c r="H133" s="1" t="n">
        <f aca="false">FALSE()</f>
        <v>0</v>
      </c>
      <c r="I133" s="1" t="n">
        <f aca="false">FALSE()</f>
        <v>0</v>
      </c>
      <c r="J133" s="1" t="n">
        <f aca="false">FALSE()</f>
        <v>0</v>
      </c>
      <c r="K133" s="0" t="n">
        <f aca="false">IFERROR(__xludf.dummyfunction("""COMPUTED_VALUE"""),2)</f>
        <v>2</v>
      </c>
    </row>
    <row r="134" customFormat="false" ht="15.75" hidden="false" customHeight="false" outlineLevel="0" collapsed="false">
      <c r="A134" s="0" t="str">
        <f aca="false">IFERROR(__xludf.dummyfunction("""COMPUTED_VALUE"""),"Степанов")</f>
        <v>Степанов</v>
      </c>
      <c r="B134" s="0" t="str">
        <f aca="false">IFERROR(__xludf.dummyfunction("""COMPUTED_VALUE"""),"Михаил")</f>
        <v>Михаил</v>
      </c>
      <c r="C134" s="0" t="n">
        <f aca="false">IFERROR(__xludf.dummyfunction("""COMPUTED_VALUE"""),7)</f>
        <v>7</v>
      </c>
      <c r="D134" s="0" t="n">
        <f aca="false">IFERROR(__xludf.dummyfunction("""COMPUTED_VALUE"""),117)</f>
        <v>117</v>
      </c>
      <c r="E134" s="12" t="str">
        <f aca="false">IFERROR(__xludf.dummyfunction("""COMPUTED_VALUE"""),"Теория большого математика")</f>
        <v>Теория большого математика</v>
      </c>
      <c r="F134" s="1" t="n">
        <f aca="false">TRUE()</f>
        <v>1</v>
      </c>
      <c r="G134" s="1" t="n">
        <f aca="false">TRUE()</f>
        <v>1</v>
      </c>
      <c r="H134" s="1" t="n">
        <f aca="false">TRUE()</f>
        <v>1</v>
      </c>
      <c r="I134" s="1" t="n">
        <f aca="false">TRUE()</f>
        <v>1</v>
      </c>
      <c r="J134" s="1" t="n">
        <f aca="false">TRUE()</f>
        <v>1</v>
      </c>
      <c r="K134" s="0" t="n">
        <f aca="false">IFERROR(__xludf.dummyfunction("""COMPUTED_VALUE"""),158)</f>
        <v>158</v>
      </c>
    </row>
    <row r="135" customFormat="false" ht="15.75" hidden="false" customHeight="false" outlineLevel="0" collapsed="false">
      <c r="A135" s="0" t="str">
        <f aca="false">IFERROR(__xludf.dummyfunction("""COMPUTED_VALUE"""),"Тимомеев")</f>
        <v>Тимомеев</v>
      </c>
      <c r="B135" s="0" t="str">
        <f aca="false">IFERROR(__xludf.dummyfunction("""COMPUTED_VALUE"""),"Рустам")</f>
        <v>Рустам</v>
      </c>
      <c r="C135" s="0" t="n">
        <f aca="false">IFERROR(__xludf.dummyfunction("""COMPUTED_VALUE"""),10)</f>
        <v>10</v>
      </c>
      <c r="D135" s="0" t="n">
        <f aca="false">IFERROR(__xludf.dummyfunction("""COMPUTED_VALUE"""),117)</f>
        <v>117</v>
      </c>
      <c r="E135" s="12" t="str">
        <f aca="false">IFERROR(__xludf.dummyfunction("""COMPUTED_VALUE"""),"Теория большого математика")</f>
        <v>Теория большого математика</v>
      </c>
      <c r="F135" s="1" t="n">
        <f aca="false">FALSE()</f>
        <v>0</v>
      </c>
      <c r="G135" s="1" t="n">
        <f aca="false">FALSE()</f>
        <v>0</v>
      </c>
      <c r="H135" s="1" t="n">
        <f aca="false">FALSE()</f>
        <v>0</v>
      </c>
      <c r="I135" s="1" t="n">
        <f aca="false">FALSE()</f>
        <v>0</v>
      </c>
      <c r="J135" s="1" t="n">
        <f aca="false">FALSE()</f>
        <v>0</v>
      </c>
      <c r="K135" s="0" t="n">
        <f aca="false">IFERROR(__xludf.dummyfunction("""COMPUTED_VALUE"""),132)</f>
        <v>132</v>
      </c>
    </row>
    <row r="136" customFormat="false" ht="15.75" hidden="false" customHeight="false" outlineLevel="0" collapsed="false">
      <c r="A136" s="0" t="str">
        <f aca="false">IFERROR(__xludf.dummyfunction("""COMPUTED_VALUE"""),"Волченко")</f>
        <v>Волченко</v>
      </c>
      <c r="B136" s="0" t="str">
        <f aca="false">IFERROR(__xludf.dummyfunction("""COMPUTED_VALUE"""),"Вадим")</f>
        <v>Вадим</v>
      </c>
      <c r="C136" s="0" t="n">
        <f aca="false">IFERROR(__xludf.dummyfunction("""COMPUTED_VALUE"""),9)</f>
        <v>9</v>
      </c>
      <c r="D136" s="0" t="n">
        <f aca="false">IFERROR(__xludf.dummyfunction("""COMPUTED_VALUE"""),117)</f>
        <v>117</v>
      </c>
      <c r="E136" s="12" t="str">
        <f aca="false">IFERROR(__xludf.dummyfunction("""COMPUTED_VALUE"""),"Теория игр")</f>
        <v>Теория игр</v>
      </c>
      <c r="F136" s="1" t="n">
        <f aca="false">FALSE()</f>
        <v>0</v>
      </c>
      <c r="G136" s="1" t="n">
        <f aca="false">FALSE()</f>
        <v>0</v>
      </c>
      <c r="H136" s="1" t="n">
        <f aca="false">FALSE()</f>
        <v>0</v>
      </c>
      <c r="I136" s="1" t="n">
        <f aca="false">FALSE()</f>
        <v>0</v>
      </c>
      <c r="J136" s="1" t="n">
        <f aca="false">FALSE()</f>
        <v>0</v>
      </c>
      <c r="K136" s="0" t="n">
        <f aca="false">IFERROR(__xludf.dummyfunction("""COMPUTED_VALUE"""),141)</f>
        <v>141</v>
      </c>
    </row>
    <row r="137" customFormat="false" ht="15.75" hidden="false" customHeight="false" outlineLevel="0" collapsed="false">
      <c r="A137" s="0" t="str">
        <f aca="false">IFERROR(__xludf.dummyfunction("""COMPUTED_VALUE"""),"Галыба")</f>
        <v>Галыба</v>
      </c>
      <c r="B137" s="0" t="str">
        <f aca="false">IFERROR(__xludf.dummyfunction("""COMPUTED_VALUE"""),"Леонид")</f>
        <v>Леонид</v>
      </c>
      <c r="C137" s="0" t="n">
        <f aca="false">IFERROR(__xludf.dummyfunction("""COMPUTED_VALUE"""),10)</f>
        <v>10</v>
      </c>
      <c r="D137" s="0" t="n">
        <f aca="false">IFERROR(__xludf.dummyfunction("""COMPUTED_VALUE"""),117)</f>
        <v>117</v>
      </c>
      <c r="E137" s="12" t="str">
        <f aca="false">IFERROR(__xludf.dummyfunction("""COMPUTED_VALUE"""),"Теория игр")</f>
        <v>Теория игр</v>
      </c>
      <c r="F137" s="1" t="n">
        <f aca="false">FALSE()</f>
        <v>0</v>
      </c>
      <c r="G137" s="1" t="n">
        <f aca="false">FALSE()</f>
        <v>0</v>
      </c>
      <c r="H137" s="1" t="n">
        <f aca="false">TRUE()</f>
        <v>1</v>
      </c>
      <c r="I137" s="1" t="n">
        <f aca="false">TRUE()</f>
        <v>1</v>
      </c>
      <c r="J137" s="1" t="n">
        <f aca="false">FALSE()</f>
        <v>0</v>
      </c>
      <c r="K137" s="0" t="n">
        <f aca="false">IFERROR(__xludf.dummyfunction("""COMPUTED_VALUE"""),147)</f>
        <v>147</v>
      </c>
    </row>
    <row r="138" customFormat="false" ht="15.75" hidden="false" customHeight="false" outlineLevel="0" collapsed="false">
      <c r="A138" s="0" t="str">
        <f aca="false">IFERROR(__xludf.dummyfunction("""COMPUTED_VALUE"""),"Гасилен")</f>
        <v>Гасилен</v>
      </c>
      <c r="B138" s="0" t="str">
        <f aca="false">IFERROR(__xludf.dummyfunction("""COMPUTED_VALUE"""),"Иван")</f>
        <v>Иван</v>
      </c>
      <c r="C138" s="0" t="n">
        <f aca="false">IFERROR(__xludf.dummyfunction("""COMPUTED_VALUE"""),9)</f>
        <v>9</v>
      </c>
      <c r="D138" s="0" t="n">
        <f aca="false">IFERROR(__xludf.dummyfunction("""COMPUTED_VALUE"""),117)</f>
        <v>117</v>
      </c>
      <c r="E138" s="12" t="str">
        <f aca="false">IFERROR(__xludf.dummyfunction("""COMPUTED_VALUE"""),"Теория игр")</f>
        <v>Теория игр</v>
      </c>
      <c r="F138" s="1" t="n">
        <f aca="false">TRUE()</f>
        <v>1</v>
      </c>
      <c r="G138" s="1" t="n">
        <f aca="false">TRUE()</f>
        <v>1</v>
      </c>
      <c r="H138" s="1" t="n">
        <f aca="false">TRUE()</f>
        <v>1</v>
      </c>
      <c r="I138" s="1" t="n">
        <f aca="false">TRUE()</f>
        <v>1</v>
      </c>
      <c r="J138" s="1" t="n">
        <f aca="false">TRUE()</f>
        <v>1</v>
      </c>
      <c r="K138" s="0" t="n">
        <f aca="false">IFERROR(__xludf.dummyfunction("""COMPUTED_VALUE"""),112)</f>
        <v>112</v>
      </c>
    </row>
    <row r="139" customFormat="false" ht="15.75" hidden="false" customHeight="false" outlineLevel="0" collapsed="false">
      <c r="A139" s="0" t="str">
        <f aca="false">IFERROR(__xludf.dummyfunction("""COMPUTED_VALUE"""),"Жилин")</f>
        <v>Жилин</v>
      </c>
      <c r="B139" s="0" t="str">
        <f aca="false">IFERROR(__xludf.dummyfunction("""COMPUTED_VALUE"""),"Михаил")</f>
        <v>Михаил</v>
      </c>
      <c r="C139" s="0" t="n">
        <f aca="false">IFERROR(__xludf.dummyfunction("""COMPUTED_VALUE"""),9)</f>
        <v>9</v>
      </c>
      <c r="D139" s="0" t="n">
        <f aca="false">IFERROR(__xludf.dummyfunction("""COMPUTED_VALUE"""),117)</f>
        <v>117</v>
      </c>
      <c r="E139" s="12" t="str">
        <f aca="false">IFERROR(__xludf.dummyfunction("""COMPUTED_VALUE"""),"Теория игр")</f>
        <v>Теория игр</v>
      </c>
      <c r="F139" s="1" t="n">
        <f aca="false">TRUE()</f>
        <v>1</v>
      </c>
      <c r="G139" s="1" t="n">
        <f aca="false">TRUE()</f>
        <v>1</v>
      </c>
      <c r="H139" s="1" t="n">
        <f aca="false">TRUE()</f>
        <v>1</v>
      </c>
      <c r="I139" s="1" t="n">
        <f aca="false">TRUE()</f>
        <v>1</v>
      </c>
      <c r="J139" s="1" t="n">
        <f aca="false">TRUE()</f>
        <v>1</v>
      </c>
      <c r="K139" s="0" t="n">
        <f aca="false">IFERROR(__xludf.dummyfunction("""COMPUTED_VALUE"""),133)</f>
        <v>133</v>
      </c>
    </row>
    <row r="140" customFormat="false" ht="15.75" hidden="false" customHeight="false" outlineLevel="0" collapsed="false">
      <c r="A140" s="0" t="str">
        <f aca="false">IFERROR(__xludf.dummyfunction("""COMPUTED_VALUE"""),"Жирнов")</f>
        <v>Жирнов</v>
      </c>
      <c r="B140" s="0" t="str">
        <f aca="false">IFERROR(__xludf.dummyfunction("""COMPUTED_VALUE"""),"Арсений")</f>
        <v>Арсений</v>
      </c>
      <c r="C140" s="0" t="n">
        <f aca="false">IFERROR(__xludf.dummyfunction("""COMPUTED_VALUE"""),9)</f>
        <v>9</v>
      </c>
      <c r="D140" s="0" t="n">
        <f aca="false">IFERROR(__xludf.dummyfunction("""COMPUTED_VALUE"""),149)</f>
        <v>149</v>
      </c>
      <c r="E140" s="12" t="str">
        <f aca="false">IFERROR(__xludf.dummyfunction("""COMPUTED_VALUE"""),"Теория игр")</f>
        <v>Теория игр</v>
      </c>
      <c r="F140" s="1" t="n">
        <f aca="false">TRUE()</f>
        <v>1</v>
      </c>
      <c r="G140" s="1" t="n">
        <f aca="false">TRUE()</f>
        <v>1</v>
      </c>
      <c r="H140" s="1" t="n">
        <f aca="false">FALSE()</f>
        <v>0</v>
      </c>
      <c r="I140" s="1" t="n">
        <f aca="false">FALSE()</f>
        <v>0</v>
      </c>
      <c r="J140" s="1" t="n">
        <f aca="false">FALSE()</f>
        <v>0</v>
      </c>
      <c r="K140" s="0" t="n">
        <f aca="false">IFERROR(__xludf.dummyfunction("""COMPUTED_VALUE"""),33)</f>
        <v>33</v>
      </c>
    </row>
    <row r="141" customFormat="false" ht="15.75" hidden="false" customHeight="false" outlineLevel="0" collapsed="false">
      <c r="A141" s="0" t="str">
        <f aca="false">IFERROR(__xludf.dummyfunction("""COMPUTED_VALUE"""),"Зернюк")</f>
        <v>Зернюк</v>
      </c>
      <c r="B141" s="0" t="str">
        <f aca="false">IFERROR(__xludf.dummyfunction("""COMPUTED_VALUE"""),"Андрей")</f>
        <v>Андрей</v>
      </c>
      <c r="C141" s="0" t="n">
        <f aca="false">IFERROR(__xludf.dummyfunction("""COMPUTED_VALUE"""),9)</f>
        <v>9</v>
      </c>
      <c r="D141" s="0" t="n">
        <f aca="false">IFERROR(__xludf.dummyfunction("""COMPUTED_VALUE"""),117)</f>
        <v>117</v>
      </c>
      <c r="E141" s="12" t="str">
        <f aca="false">IFERROR(__xludf.dummyfunction("""COMPUTED_VALUE"""),"Теория игр")</f>
        <v>Теория игр</v>
      </c>
      <c r="F141" s="1" t="n">
        <f aca="false">FALSE()</f>
        <v>0</v>
      </c>
      <c r="G141" s="1" t="n">
        <f aca="false">FALSE()</f>
        <v>0</v>
      </c>
      <c r="H141" s="1" t="n">
        <f aca="false">FALSE()</f>
        <v>0</v>
      </c>
      <c r="I141" s="1" t="n">
        <f aca="false">FALSE()</f>
        <v>0</v>
      </c>
      <c r="J141" s="1" t="n">
        <f aca="false">FALSE()</f>
        <v>0</v>
      </c>
      <c r="K141" s="0" t="n">
        <f aca="false">IFERROR(__xludf.dummyfunction("""COMPUTED_VALUE"""),69)</f>
        <v>69</v>
      </c>
    </row>
    <row r="142" customFormat="false" ht="15.75" hidden="false" customHeight="false" outlineLevel="0" collapsed="false">
      <c r="A142" s="0" t="str">
        <f aca="false">IFERROR(__xludf.dummyfunction("""COMPUTED_VALUE"""),"Каяшов")</f>
        <v>Каяшов</v>
      </c>
      <c r="B142" s="0" t="str">
        <f aca="false">IFERROR(__xludf.dummyfunction("""COMPUTED_VALUE"""),"Даниил")</f>
        <v>Даниил</v>
      </c>
      <c r="C142" s="0" t="n">
        <f aca="false">IFERROR(__xludf.dummyfunction("""COMPUTED_VALUE"""),9)</f>
        <v>9</v>
      </c>
      <c r="D142" s="0" t="n">
        <f aca="false">IFERROR(__xludf.dummyfunction("""COMPUTED_VALUE"""),117)</f>
        <v>117</v>
      </c>
      <c r="E142" s="12" t="str">
        <f aca="false">IFERROR(__xludf.dummyfunction("""COMPUTED_VALUE"""),"Теория игр")</f>
        <v>Теория игр</v>
      </c>
      <c r="F142" s="1" t="n">
        <f aca="false">TRUE()</f>
        <v>1</v>
      </c>
      <c r="G142" s="1" t="n">
        <f aca="false">FALSE()</f>
        <v>0</v>
      </c>
      <c r="H142" s="1" t="n">
        <f aca="false">FALSE()</f>
        <v>0</v>
      </c>
      <c r="I142" s="1" t="n">
        <f aca="false">FALSE()</f>
        <v>0</v>
      </c>
      <c r="J142" s="1" t="n">
        <f aca="false">FALSE()</f>
        <v>0</v>
      </c>
      <c r="K142" s="0" t="n">
        <f aca="false">IFERROR(__xludf.dummyfunction("""COMPUTED_VALUE"""),120)</f>
        <v>120</v>
      </c>
    </row>
    <row r="143" customFormat="false" ht="15.75" hidden="false" customHeight="false" outlineLevel="0" collapsed="false">
      <c r="A143" s="0" t="str">
        <f aca="false">IFERROR(__xludf.dummyfunction("""COMPUTED_VALUE"""),"Кожевников ")</f>
        <v>Кожевников</v>
      </c>
      <c r="B143" s="0" t="str">
        <f aca="false">IFERROR(__xludf.dummyfunction("""COMPUTED_VALUE"""),"Егор")</f>
        <v>Егор</v>
      </c>
      <c r="C143" s="0" t="n">
        <f aca="false">IFERROR(__xludf.dummyfunction("""COMPUTED_VALUE"""),8)</f>
        <v>8</v>
      </c>
      <c r="D143" s="0" t="n">
        <f aca="false">IFERROR(__xludf.dummyfunction("""COMPUTED_VALUE"""),66)</f>
        <v>66</v>
      </c>
      <c r="E143" s="12" t="str">
        <f aca="false">IFERROR(__xludf.dummyfunction("""COMPUTED_VALUE"""),"Теория игр")</f>
        <v>Теория игр</v>
      </c>
      <c r="F143" s="1" t="n">
        <f aca="false">TRUE()</f>
        <v>1</v>
      </c>
      <c r="G143" s="1" t="n">
        <f aca="false">TRUE()</f>
        <v>1</v>
      </c>
      <c r="H143" s="1" t="n">
        <f aca="false">TRUE()</f>
        <v>1</v>
      </c>
      <c r="I143" s="1" t="n">
        <f aca="false">TRUE()</f>
        <v>1</v>
      </c>
      <c r="J143" s="1" t="n">
        <f aca="false">TRUE()</f>
        <v>1</v>
      </c>
      <c r="K143" s="0" t="n">
        <f aca="false">IFERROR(__xludf.dummyfunction("""COMPUTED_VALUE"""),170)</f>
        <v>170</v>
      </c>
    </row>
    <row r="144" customFormat="false" ht="15.75" hidden="false" customHeight="false" outlineLevel="0" collapsed="false">
      <c r="A144" s="0" t="str">
        <f aca="false">IFERROR(__xludf.dummyfunction("""COMPUTED_VALUE"""),"Комнацкий")</f>
        <v>Комнацкий</v>
      </c>
      <c r="B144" s="0" t="str">
        <f aca="false">IFERROR(__xludf.dummyfunction("""COMPUTED_VALUE"""),"Александр")</f>
        <v>Александр</v>
      </c>
      <c r="C144" s="0" t="n">
        <f aca="false">IFERROR(__xludf.dummyfunction("""COMPUTED_VALUE"""),10)</f>
        <v>10</v>
      </c>
      <c r="D144" s="0" t="str">
        <f aca="false">IFERROR(__xludf.dummyfunction("""COMPUTED_VALUE"""),"СУНЦ МГУ")</f>
        <v>СУНЦ МГУ</v>
      </c>
      <c r="E144" s="12" t="str">
        <f aca="false">IFERROR(__xludf.dummyfunction("""COMPUTED_VALUE"""),"Теория игр")</f>
        <v>Теория игр</v>
      </c>
      <c r="F144" s="1" t="n">
        <f aca="false">TRUE()</f>
        <v>1</v>
      </c>
      <c r="G144" s="1" t="n">
        <f aca="false">FALSE()</f>
        <v>0</v>
      </c>
      <c r="H144" s="1" t="n">
        <f aca="false">TRUE()</f>
        <v>1</v>
      </c>
      <c r="I144" s="1" t="n">
        <f aca="false">TRUE()</f>
        <v>1</v>
      </c>
      <c r="J144" s="1" t="n">
        <f aca="false">FALSE()</f>
        <v>0</v>
      </c>
      <c r="K144" s="0" t="n">
        <f aca="false">IFERROR(__xludf.dummyfunction("""COMPUTED_VALUE"""),99)</f>
        <v>99</v>
      </c>
    </row>
    <row r="145" customFormat="false" ht="15.75" hidden="false" customHeight="false" outlineLevel="0" collapsed="false">
      <c r="A145" s="0" t="str">
        <f aca="false">IFERROR(__xludf.dummyfunction("""COMPUTED_VALUE"""),"Кочурова")</f>
        <v>Кочурова</v>
      </c>
      <c r="B145" s="0" t="str">
        <f aca="false">IFERROR(__xludf.dummyfunction("""COMPUTED_VALUE"""),"Елизавета")</f>
        <v>Елизавета</v>
      </c>
      <c r="C145" s="0" t="n">
        <f aca="false">IFERROR(__xludf.dummyfunction("""COMPUTED_VALUE"""),8)</f>
        <v>8</v>
      </c>
      <c r="D145" s="0" t="n">
        <f aca="false">IFERROR(__xludf.dummyfunction("""COMPUTED_VALUE"""),117)</f>
        <v>117</v>
      </c>
      <c r="E145" s="12" t="str">
        <f aca="false">IFERROR(__xludf.dummyfunction("""COMPUTED_VALUE"""),"Теория игр")</f>
        <v>Теория игр</v>
      </c>
      <c r="F145" s="1" t="n">
        <f aca="false">TRUE()</f>
        <v>1</v>
      </c>
      <c r="G145" s="1" t="n">
        <f aca="false">TRUE()</f>
        <v>1</v>
      </c>
      <c r="H145" s="1" t="n">
        <f aca="false">TRUE()</f>
        <v>1</v>
      </c>
      <c r="I145" s="1" t="n">
        <f aca="false">TRUE()</f>
        <v>1</v>
      </c>
      <c r="J145" s="1" t="n">
        <f aca="false">TRUE()</f>
        <v>1</v>
      </c>
      <c r="K145" s="0" t="n">
        <f aca="false">IFERROR(__xludf.dummyfunction("""COMPUTED_VALUE"""),59)</f>
        <v>59</v>
      </c>
    </row>
    <row r="146" customFormat="false" ht="15.75" hidden="false" customHeight="false" outlineLevel="0" collapsed="false">
      <c r="A146" s="0" t="str">
        <f aca="false">IFERROR(__xludf.dummyfunction("""COMPUTED_VALUE"""),"Лекант")</f>
        <v>Лекант</v>
      </c>
      <c r="B146" s="0" t="str">
        <f aca="false">IFERROR(__xludf.dummyfunction("""COMPUTED_VALUE"""),"Полина")</f>
        <v>Полина</v>
      </c>
      <c r="C146" s="0" t="n">
        <f aca="false">IFERROR(__xludf.dummyfunction("""COMPUTED_VALUE"""),10)</f>
        <v>10</v>
      </c>
      <c r="D146" s="0" t="n">
        <f aca="false">IFERROR(__xludf.dummyfunction("""COMPUTED_VALUE"""),117)</f>
        <v>117</v>
      </c>
      <c r="E146" s="12" t="str">
        <f aca="false">IFERROR(__xludf.dummyfunction("""COMPUTED_VALUE"""),"Теория игр")</f>
        <v>Теория игр</v>
      </c>
      <c r="F146" s="1" t="n">
        <f aca="false">TRUE()</f>
        <v>1</v>
      </c>
      <c r="G146" s="1" t="n">
        <f aca="false">TRUE()</f>
        <v>1</v>
      </c>
      <c r="H146" s="1" t="n">
        <f aca="false">FALSE()</f>
        <v>0</v>
      </c>
      <c r="I146" s="1" t="n">
        <f aca="false">TRUE()</f>
        <v>1</v>
      </c>
      <c r="J146" s="1" t="n">
        <f aca="false">FALSE()</f>
        <v>0</v>
      </c>
      <c r="K146" s="0" t="n">
        <f aca="false">IFERROR(__xludf.dummyfunction("""COMPUTED_VALUE"""),125)</f>
        <v>125</v>
      </c>
    </row>
    <row r="147" customFormat="false" ht="15.75" hidden="false" customHeight="false" outlineLevel="0" collapsed="false">
      <c r="A147" s="0" t="str">
        <f aca="false">IFERROR(__xludf.dummyfunction("""COMPUTED_VALUE"""),"Леонов")</f>
        <v>Леонов</v>
      </c>
      <c r="B147" s="0" t="str">
        <f aca="false">IFERROR(__xludf.dummyfunction("""COMPUTED_VALUE"""),"Иван")</f>
        <v>Иван</v>
      </c>
      <c r="C147" s="0" t="n">
        <f aca="false">IFERROR(__xludf.dummyfunction("""COMPUTED_VALUE"""),9)</f>
        <v>9</v>
      </c>
      <c r="D147" s="0" t="n">
        <f aca="false">IFERROR(__xludf.dummyfunction("""COMPUTED_VALUE"""),74)</f>
        <v>74</v>
      </c>
      <c r="E147" s="12" t="str">
        <f aca="false">IFERROR(__xludf.dummyfunction("""COMPUTED_VALUE"""),"Теория игр")</f>
        <v>Теория игр</v>
      </c>
      <c r="F147" s="1" t="n">
        <f aca="false">TRUE()</f>
        <v>1</v>
      </c>
      <c r="G147" s="1" t="n">
        <f aca="false">TRUE()</f>
        <v>1</v>
      </c>
      <c r="H147" s="1" t="n">
        <f aca="false">TRUE()</f>
        <v>1</v>
      </c>
      <c r="I147" s="1" t="n">
        <f aca="false">TRUE()</f>
        <v>1</v>
      </c>
      <c r="J147" s="1" t="n">
        <f aca="false">TRUE()</f>
        <v>1</v>
      </c>
      <c r="K147" s="0" t="n">
        <f aca="false">IFERROR(__xludf.dummyfunction("""COMPUTED_VALUE"""),161)</f>
        <v>161</v>
      </c>
    </row>
    <row r="148" customFormat="false" ht="15.75" hidden="false" customHeight="false" outlineLevel="0" collapsed="false">
      <c r="A148" s="0" t="str">
        <f aca="false">IFERROR(__xludf.dummyfunction("""COMPUTED_VALUE"""),"Лисовский")</f>
        <v>Лисовский</v>
      </c>
      <c r="B148" s="0" t="str">
        <f aca="false">IFERROR(__xludf.dummyfunction("""COMPUTED_VALUE"""),"Роман")</f>
        <v>Роман</v>
      </c>
      <c r="C148" s="0" t="n">
        <f aca="false">IFERROR(__xludf.dummyfunction("""COMPUTED_VALUE"""),9)</f>
        <v>9</v>
      </c>
      <c r="D148" s="0" t="n">
        <f aca="false">IFERROR(__xludf.dummyfunction("""COMPUTED_VALUE"""),139)</f>
        <v>139</v>
      </c>
      <c r="E148" s="12" t="str">
        <f aca="false">IFERROR(__xludf.dummyfunction("""COMPUTED_VALUE"""),"Теория игр")</f>
        <v>Теория игр</v>
      </c>
      <c r="F148" s="1" t="n">
        <f aca="false">TRUE()</f>
        <v>1</v>
      </c>
      <c r="G148" s="1" t="n">
        <f aca="false">TRUE()</f>
        <v>1</v>
      </c>
      <c r="H148" s="1" t="n">
        <f aca="false">TRUE()</f>
        <v>1</v>
      </c>
      <c r="I148" s="1" t="n">
        <f aca="false">TRUE()</f>
        <v>1</v>
      </c>
      <c r="J148" s="1" t="n">
        <f aca="false">TRUE()</f>
        <v>1</v>
      </c>
      <c r="K148" s="0" t="n">
        <f aca="false">IFERROR(__xludf.dummyfunction("""COMPUTED_VALUE"""),168)</f>
        <v>168</v>
      </c>
    </row>
    <row r="149" customFormat="false" ht="15.75" hidden="false" customHeight="false" outlineLevel="0" collapsed="false">
      <c r="A149" s="0" t="str">
        <f aca="false">IFERROR(__xludf.dummyfunction("""COMPUTED_VALUE"""),"Моргун ")</f>
        <v>Моргун</v>
      </c>
      <c r="B149" s="0" t="str">
        <f aca="false">IFERROR(__xludf.dummyfunction("""COMPUTED_VALUE"""),"Иван")</f>
        <v>Иван</v>
      </c>
      <c r="C149" s="0" t="n">
        <f aca="false">IFERROR(__xludf.dummyfunction("""COMPUTED_VALUE"""),9)</f>
        <v>9</v>
      </c>
      <c r="D149" s="0" t="n">
        <f aca="false">IFERROR(__xludf.dummyfunction("""COMPUTED_VALUE"""),117)</f>
        <v>117</v>
      </c>
      <c r="E149" s="12" t="str">
        <f aca="false">IFERROR(__xludf.dummyfunction("""COMPUTED_VALUE"""),"Теория игр")</f>
        <v>Теория игр</v>
      </c>
      <c r="F149" s="1" t="n">
        <f aca="false">TRUE()</f>
        <v>1</v>
      </c>
      <c r="G149" s="1" t="n">
        <f aca="false">TRUE()</f>
        <v>1</v>
      </c>
      <c r="H149" s="1" t="n">
        <f aca="false">FALSE()</f>
        <v>0</v>
      </c>
      <c r="I149" s="1" t="n">
        <f aca="false">FALSE()</f>
        <v>0</v>
      </c>
      <c r="J149" s="1" t="n">
        <f aca="false">FALSE()</f>
        <v>0</v>
      </c>
      <c r="K149" s="0" t="n">
        <f aca="false">IFERROR(__xludf.dummyfunction("""COMPUTED_VALUE"""),62)</f>
        <v>62</v>
      </c>
    </row>
    <row r="150" customFormat="false" ht="15.75" hidden="false" customHeight="false" outlineLevel="0" collapsed="false">
      <c r="A150" s="0" t="str">
        <f aca="false">IFERROR(__xludf.dummyfunction("""COMPUTED_VALUE"""),"Мороз")</f>
        <v>Мороз</v>
      </c>
      <c r="B150" s="0" t="str">
        <f aca="false">IFERROR(__xludf.dummyfunction("""COMPUTED_VALUE"""),"Семён")</f>
        <v>Семён</v>
      </c>
      <c r="C150" s="0" t="n">
        <f aca="false">IFERROR(__xludf.dummyfunction("""COMPUTED_VALUE"""),9)</f>
        <v>9</v>
      </c>
      <c r="D150" s="0" t="n">
        <f aca="false">IFERROR(__xludf.dummyfunction("""COMPUTED_VALUE"""),117)</f>
        <v>117</v>
      </c>
      <c r="E150" s="12" t="str">
        <f aca="false">IFERROR(__xludf.dummyfunction("""COMPUTED_VALUE"""),"Теория игр")</f>
        <v>Теория игр</v>
      </c>
      <c r="F150" s="1" t="n">
        <f aca="false">TRUE()</f>
        <v>1</v>
      </c>
      <c r="G150" s="1" t="n">
        <f aca="false">TRUE()</f>
        <v>1</v>
      </c>
      <c r="H150" s="1" t="n">
        <f aca="false">TRUE()</f>
        <v>1</v>
      </c>
      <c r="I150" s="1" t="n">
        <f aca="false">TRUE()</f>
        <v>1</v>
      </c>
      <c r="J150" s="1" t="n">
        <f aca="false">TRUE()</f>
        <v>1</v>
      </c>
      <c r="K150" s="0" t="n">
        <f aca="false">IFERROR(__xludf.dummyfunction("""COMPUTED_VALUE"""),151)</f>
        <v>151</v>
      </c>
    </row>
    <row r="151" customFormat="false" ht="15.75" hidden="false" customHeight="false" outlineLevel="0" collapsed="false">
      <c r="A151" s="0" t="str">
        <f aca="false">IFERROR(__xludf.dummyfunction("""COMPUTED_VALUE"""),"Никитин")</f>
        <v>Никитин</v>
      </c>
      <c r="B151" s="0" t="str">
        <f aca="false">IFERROR(__xludf.dummyfunction("""COMPUTED_VALUE"""),"Никита")</f>
        <v>Никита</v>
      </c>
      <c r="C151" s="0" t="n">
        <f aca="false">IFERROR(__xludf.dummyfunction("""COMPUTED_VALUE"""),10)</f>
        <v>10</v>
      </c>
      <c r="D151" s="0" t="n">
        <f aca="false">IFERROR(__xludf.dummyfunction("""COMPUTED_VALUE"""),64)</f>
        <v>64</v>
      </c>
      <c r="E151" s="12" t="str">
        <f aca="false">IFERROR(__xludf.dummyfunction("""COMPUTED_VALUE"""),"Теория игр")</f>
        <v>Теория игр</v>
      </c>
      <c r="F151" s="1" t="n">
        <f aca="false">TRUE()</f>
        <v>1</v>
      </c>
      <c r="G151" s="1" t="n">
        <f aca="false">TRUE()</f>
        <v>1</v>
      </c>
      <c r="H151" s="1" t="n">
        <f aca="false">TRUE()</f>
        <v>1</v>
      </c>
      <c r="I151" s="1" t="n">
        <f aca="false">TRUE()</f>
        <v>1</v>
      </c>
      <c r="J151" s="1" t="n">
        <f aca="false">FALSE()</f>
        <v>0</v>
      </c>
      <c r="K151" s="0" t="n">
        <f aca="false">IFERROR(__xludf.dummyfunction("""COMPUTED_VALUE"""),19)</f>
        <v>19</v>
      </c>
    </row>
    <row r="152" customFormat="false" ht="15.75" hidden="false" customHeight="false" outlineLevel="0" collapsed="false">
      <c r="A152" s="0" t="str">
        <f aca="false">IFERROR(__xludf.dummyfunction("""COMPUTED_VALUE"""),"Осипова")</f>
        <v>Осипова</v>
      </c>
      <c r="B152" s="0" t="str">
        <f aca="false">IFERROR(__xludf.dummyfunction("""COMPUTED_VALUE"""),"Валентина")</f>
        <v>Валентина</v>
      </c>
      <c r="C152" s="0" t="n">
        <f aca="false">IFERROR(__xludf.dummyfunction("""COMPUTED_VALUE"""),8)</f>
        <v>8</v>
      </c>
      <c r="D152" s="0" t="n">
        <f aca="false">IFERROR(__xludf.dummyfunction("""COMPUTED_VALUE"""),117)</f>
        <v>117</v>
      </c>
      <c r="E152" s="12" t="str">
        <f aca="false">IFERROR(__xludf.dummyfunction("""COMPUTED_VALUE"""),"Теория игр")</f>
        <v>Теория игр</v>
      </c>
      <c r="F152" s="1" t="n">
        <f aca="false">FALSE()</f>
        <v>0</v>
      </c>
      <c r="G152" s="1" t="n">
        <f aca="false">FALSE()</f>
        <v>0</v>
      </c>
      <c r="H152" s="1" t="n">
        <f aca="false">FALSE()</f>
        <v>0</v>
      </c>
      <c r="I152" s="1" t="n">
        <f aca="false">FALSE()</f>
        <v>0</v>
      </c>
      <c r="J152" s="1" t="n">
        <f aca="false">FALSE()</f>
        <v>0</v>
      </c>
      <c r="K152" s="0" t="n">
        <f aca="false">IFERROR(__xludf.dummyfunction("""COMPUTED_VALUE"""),144)</f>
        <v>144</v>
      </c>
    </row>
    <row r="153" customFormat="false" ht="15.75" hidden="false" customHeight="false" outlineLevel="0" collapsed="false">
      <c r="A153" s="0" t="str">
        <f aca="false">IFERROR(__xludf.dummyfunction("""COMPUTED_VALUE"""),"Протченко")</f>
        <v>Протченко</v>
      </c>
      <c r="B153" s="0" t="str">
        <f aca="false">IFERROR(__xludf.dummyfunction("""COMPUTED_VALUE"""),"Анастасия")</f>
        <v>Анастасия</v>
      </c>
      <c r="C153" s="0" t="n">
        <f aca="false">IFERROR(__xludf.dummyfunction("""COMPUTED_VALUE"""),9)</f>
        <v>9</v>
      </c>
      <c r="D153" s="0" t="n">
        <f aca="false">IFERROR(__xludf.dummyfunction("""COMPUTED_VALUE"""),17)</f>
        <v>17</v>
      </c>
      <c r="E153" s="12" t="str">
        <f aca="false">IFERROR(__xludf.dummyfunction("""COMPUTED_VALUE"""),"Теория игр")</f>
        <v>Теория игр</v>
      </c>
      <c r="F153" s="1" t="n">
        <f aca="false">FALSE()</f>
        <v>0</v>
      </c>
      <c r="G153" s="1" t="n">
        <f aca="false">FALSE()</f>
        <v>0</v>
      </c>
      <c r="H153" s="1" t="n">
        <f aca="false">FALSE()</f>
        <v>0</v>
      </c>
      <c r="I153" s="1" t="n">
        <f aca="false">FALSE()</f>
        <v>0</v>
      </c>
      <c r="J153" s="1" t="n">
        <f aca="false">FALSE()</f>
        <v>0</v>
      </c>
      <c r="K153" s="0" t="n">
        <f aca="false">IFERROR(__xludf.dummyfunction("""COMPUTED_VALUE"""),159)</f>
        <v>159</v>
      </c>
    </row>
    <row r="154" customFormat="false" ht="15.75" hidden="false" customHeight="false" outlineLevel="0" collapsed="false">
      <c r="A154" s="0" t="str">
        <f aca="false">IFERROR(__xludf.dummyfunction("""COMPUTED_VALUE"""),"Семенов")</f>
        <v>Семенов</v>
      </c>
      <c r="B154" s="0" t="str">
        <f aca="false">IFERROR(__xludf.dummyfunction("""COMPUTED_VALUE"""),"Егор")</f>
        <v>Егор</v>
      </c>
      <c r="C154" s="0" t="n">
        <f aca="false">IFERROR(__xludf.dummyfunction("""COMPUTED_VALUE"""),9)</f>
        <v>9</v>
      </c>
      <c r="D154" s="0" t="n">
        <f aca="false">IFERROR(__xludf.dummyfunction("""COMPUTED_VALUE"""),117)</f>
        <v>117</v>
      </c>
      <c r="E154" s="12" t="str">
        <f aca="false">IFERROR(__xludf.dummyfunction("""COMPUTED_VALUE"""),"Теория игр")</f>
        <v>Теория игр</v>
      </c>
      <c r="F154" s="1" t="n">
        <f aca="false">TRUE()</f>
        <v>1</v>
      </c>
      <c r="G154" s="1" t="n">
        <f aca="false">TRUE()</f>
        <v>1</v>
      </c>
      <c r="H154" s="1" t="n">
        <f aca="false">TRUE()</f>
        <v>1</v>
      </c>
      <c r="I154" s="1" t="n">
        <f aca="false">TRUE()</f>
        <v>1</v>
      </c>
      <c r="J154" s="1" t="n">
        <f aca="false">TRUE()</f>
        <v>1</v>
      </c>
      <c r="K154" s="0" t="n">
        <f aca="false">IFERROR(__xludf.dummyfunction("""COMPUTED_VALUE"""),150)</f>
        <v>150</v>
      </c>
    </row>
    <row r="155" customFormat="false" ht="15.75" hidden="false" customHeight="false" outlineLevel="0" collapsed="false">
      <c r="A155" s="0" t="str">
        <f aca="false">IFERROR(__xludf.dummyfunction("""COMPUTED_VALUE"""),"Смирнов")</f>
        <v>Смирнов</v>
      </c>
      <c r="B155" s="0" t="str">
        <f aca="false">IFERROR(__xludf.dummyfunction("""COMPUTED_VALUE"""),"Михаил")</f>
        <v>Михаил</v>
      </c>
      <c r="C155" s="0" t="n">
        <f aca="false">IFERROR(__xludf.dummyfunction("""COMPUTED_VALUE"""),9)</f>
        <v>9</v>
      </c>
      <c r="D155" s="0" t="n">
        <f aca="false">IFERROR(__xludf.dummyfunction("""COMPUTED_VALUE"""),117)</f>
        <v>117</v>
      </c>
      <c r="E155" s="12" t="str">
        <f aca="false">IFERROR(__xludf.dummyfunction("""COMPUTED_VALUE"""),"Теория игр")</f>
        <v>Теория игр</v>
      </c>
      <c r="F155" s="1" t="n">
        <f aca="false">TRUE()</f>
        <v>1</v>
      </c>
      <c r="G155" s="1" t="n">
        <f aca="false">TRUE()</f>
        <v>1</v>
      </c>
      <c r="H155" s="1" t="n">
        <f aca="false">TRUE()</f>
        <v>1</v>
      </c>
      <c r="I155" s="1" t="n">
        <f aca="false">TRUE()</f>
        <v>1</v>
      </c>
      <c r="J155" s="1" t="n">
        <f aca="false">TRUE()</f>
        <v>1</v>
      </c>
      <c r="K155" s="0" t="n">
        <f aca="false">IFERROR(__xludf.dummyfunction("""COMPUTED_VALUE"""),124)</f>
        <v>124</v>
      </c>
    </row>
    <row r="156" customFormat="false" ht="15.75" hidden="false" customHeight="false" outlineLevel="0" collapsed="false">
      <c r="A156" s="0" t="str">
        <f aca="false">IFERROR(__xludf.dummyfunction("""COMPUTED_VALUE"""),"Чебакова")</f>
        <v>Чебакова</v>
      </c>
      <c r="B156" s="0" t="str">
        <f aca="false">IFERROR(__xludf.dummyfunction("""COMPUTED_VALUE"""),"Майя")</f>
        <v>Майя</v>
      </c>
      <c r="C156" s="0" t="n">
        <f aca="false">IFERROR(__xludf.dummyfunction("""COMPUTED_VALUE"""),9)</f>
        <v>9</v>
      </c>
      <c r="D156" s="0" t="n">
        <f aca="false">IFERROR(__xludf.dummyfunction("""COMPUTED_VALUE"""),64)</f>
        <v>64</v>
      </c>
      <c r="E156" s="12" t="str">
        <f aca="false">IFERROR(__xludf.dummyfunction("""COMPUTED_VALUE"""),"Теория игр")</f>
        <v>Теория игр</v>
      </c>
      <c r="F156" s="1" t="n">
        <f aca="false">TRUE()</f>
        <v>1</v>
      </c>
      <c r="G156" s="1" t="n">
        <f aca="false">TRUE()</f>
        <v>1</v>
      </c>
      <c r="H156" s="1" t="n">
        <f aca="false">TRUE()</f>
        <v>1</v>
      </c>
      <c r="I156" s="1" t="n">
        <f aca="false">TRUE()</f>
        <v>1</v>
      </c>
      <c r="J156" s="1" t="n">
        <f aca="false">TRUE()</f>
        <v>1</v>
      </c>
      <c r="K156" s="0" t="n">
        <f aca="false">IFERROR(__xludf.dummyfunction("""COMPUTED_VALUE"""),50)</f>
        <v>50</v>
      </c>
    </row>
    <row r="157" customFormat="false" ht="15.75" hidden="false" customHeight="false" outlineLevel="0" collapsed="false">
      <c r="A157" s="0" t="str">
        <f aca="false">IFERROR(__xludf.dummyfunction("""COMPUTED_VALUE"""),"Шестаков")</f>
        <v>Шестаков</v>
      </c>
      <c r="B157" s="0" t="str">
        <f aca="false">IFERROR(__xludf.dummyfunction("""COMPUTED_VALUE"""),"Денис")</f>
        <v>Денис</v>
      </c>
      <c r="C157" s="0" t="n">
        <f aca="false">IFERROR(__xludf.dummyfunction("""COMPUTED_VALUE"""),10)</f>
        <v>10</v>
      </c>
      <c r="D157" s="0" t="n">
        <f aca="false">IFERROR(__xludf.dummyfunction("""COMPUTED_VALUE"""),64)</f>
        <v>64</v>
      </c>
      <c r="E157" s="12" t="str">
        <f aca="false">IFERROR(__xludf.dummyfunction("""COMPUTED_VALUE"""),"Теория игр")</f>
        <v>Теория игр</v>
      </c>
      <c r="F157" s="1" t="n">
        <f aca="false">TRUE()</f>
        <v>1</v>
      </c>
      <c r="G157" s="1" t="n">
        <f aca="false">TRUE()</f>
        <v>1</v>
      </c>
      <c r="H157" s="1" t="n">
        <f aca="false">TRUE()</f>
        <v>1</v>
      </c>
      <c r="I157" s="1" t="n">
        <f aca="false">TRUE()</f>
        <v>1</v>
      </c>
      <c r="J157" s="1" t="n">
        <f aca="false">FALSE()</f>
        <v>0</v>
      </c>
      <c r="K157" s="0" t="n">
        <f aca="false">IFERROR(__xludf.dummyfunction("""COMPUTED_VALUE"""),165)</f>
        <v>165</v>
      </c>
    </row>
    <row r="158" customFormat="false" ht="15.75" hidden="false" customHeight="false" outlineLevel="0" collapsed="false">
      <c r="E158" s="12"/>
      <c r="F158" s="1" t="n">
        <f aca="false">FALSE()</f>
        <v>0</v>
      </c>
      <c r="G158" s="1" t="n">
        <f aca="false">FALSE()</f>
        <v>0</v>
      </c>
      <c r="H158" s="1" t="n">
        <f aca="false">FALSE()</f>
        <v>0</v>
      </c>
      <c r="I158" s="1" t="n">
        <f aca="false">FALSE()</f>
        <v>0</v>
      </c>
      <c r="J158" s="1" t="n">
        <f aca="false">FALSE()</f>
        <v>0</v>
      </c>
      <c r="K158" s="0" t="n">
        <f aca="false">IFERROR(__xludf.dummyfunction("""COMPUTED_VALUE"""),177)</f>
        <v>177</v>
      </c>
    </row>
    <row r="159" customFormat="false" ht="15.75" hidden="false" customHeight="false" outlineLevel="0" collapsed="false">
      <c r="E159" s="12"/>
      <c r="F159" s="1" t="n">
        <f aca="false">FALSE()</f>
        <v>0</v>
      </c>
      <c r="G159" s="1" t="n">
        <f aca="false">FALSE()</f>
        <v>0</v>
      </c>
      <c r="H159" s="1" t="n">
        <f aca="false">FALSE()</f>
        <v>0</v>
      </c>
      <c r="I159" s="1" t="n">
        <f aca="false">FALSE()</f>
        <v>0</v>
      </c>
      <c r="J159" s="1" t="n">
        <f aca="false">FALSE()</f>
        <v>0</v>
      </c>
      <c r="K159" s="0" t="n">
        <f aca="false">IFERROR(__xludf.dummyfunction("""COMPUTED_VALUE"""),178)</f>
        <v>178</v>
      </c>
    </row>
    <row r="160" customFormat="false" ht="15.75" hidden="false" customHeight="false" outlineLevel="0" collapsed="false">
      <c r="E160" s="12"/>
      <c r="F160" s="1" t="n">
        <f aca="false">FALSE()</f>
        <v>0</v>
      </c>
      <c r="G160" s="1" t="n">
        <f aca="false">FALSE()</f>
        <v>0</v>
      </c>
      <c r="H160" s="1" t="n">
        <f aca="false">FALSE()</f>
        <v>0</v>
      </c>
      <c r="I160" s="1" t="n">
        <f aca="false">FALSE()</f>
        <v>0</v>
      </c>
      <c r="J160" s="1" t="n">
        <f aca="false">FALSE()</f>
        <v>0</v>
      </c>
      <c r="K160" s="0" t="n">
        <f aca="false">IFERROR(__xludf.dummyfunction("""COMPUTED_VALUE"""),179)</f>
        <v>179</v>
      </c>
    </row>
    <row r="161" customFormat="false" ht="15.75" hidden="false" customHeight="false" outlineLevel="0" collapsed="false">
      <c r="E161" s="12"/>
      <c r="F161" s="1" t="n">
        <f aca="false">FALSE()</f>
        <v>0</v>
      </c>
      <c r="G161" s="1" t="n">
        <f aca="false">FALSE()</f>
        <v>0</v>
      </c>
      <c r="H161" s="1" t="n">
        <f aca="false">FALSE()</f>
        <v>0</v>
      </c>
      <c r="I161" s="1" t="n">
        <f aca="false">FALSE()</f>
        <v>0</v>
      </c>
      <c r="J161" s="1" t="n">
        <f aca="false">FALSE()</f>
        <v>0</v>
      </c>
      <c r="K161" s="0" t="n">
        <f aca="false">IFERROR(__xludf.dummyfunction("""COMPUTED_VALUE"""),180)</f>
        <v>180</v>
      </c>
    </row>
    <row r="162" customFormat="false" ht="15.75" hidden="false" customHeight="false" outlineLevel="0" collapsed="false">
      <c r="E162" s="12"/>
      <c r="F162" s="1" t="n">
        <f aca="false">FALSE()</f>
        <v>0</v>
      </c>
      <c r="G162" s="1" t="n">
        <f aca="false">FALSE()</f>
        <v>0</v>
      </c>
      <c r="H162" s="1" t="n">
        <f aca="false">FALSE()</f>
        <v>0</v>
      </c>
      <c r="I162" s="1" t="n">
        <f aca="false">FALSE()</f>
        <v>0</v>
      </c>
      <c r="J162" s="1" t="n">
        <f aca="false">FALSE()</f>
        <v>0</v>
      </c>
      <c r="K162" s="0" t="n">
        <f aca="false">IFERROR(__xludf.dummyfunction("""COMPUTED_VALUE"""),181)</f>
        <v>181</v>
      </c>
    </row>
    <row r="163" customFormat="false" ht="15.75" hidden="false" customHeight="false" outlineLevel="0" collapsed="false">
      <c r="E163" s="12"/>
      <c r="F163" s="1" t="n">
        <f aca="false">FALSE()</f>
        <v>0</v>
      </c>
      <c r="G163" s="1" t="n">
        <f aca="false">FALSE()</f>
        <v>0</v>
      </c>
      <c r="H163" s="1" t="n">
        <f aca="false">FALSE()</f>
        <v>0</v>
      </c>
      <c r="I163" s="1" t="n">
        <f aca="false">FALSE()</f>
        <v>0</v>
      </c>
      <c r="J163" s="1" t="n">
        <f aca="false">FALSE()</f>
        <v>0</v>
      </c>
      <c r="K163" s="0" t="n">
        <f aca="false">IFERROR(__xludf.dummyfunction("""COMPUTED_VALUE"""),182)</f>
        <v>182</v>
      </c>
    </row>
    <row r="164" customFormat="false" ht="15.75" hidden="false" customHeight="false" outlineLevel="0" collapsed="false">
      <c r="E164" s="12"/>
      <c r="F164" s="1" t="n">
        <f aca="false">FALSE()</f>
        <v>0</v>
      </c>
      <c r="G164" s="1" t="n">
        <f aca="false">FALSE()</f>
        <v>0</v>
      </c>
      <c r="H164" s="1" t="n">
        <f aca="false">FALSE()</f>
        <v>0</v>
      </c>
      <c r="I164" s="1" t="n">
        <f aca="false">FALSE()</f>
        <v>0</v>
      </c>
      <c r="J164" s="1" t="n">
        <f aca="false">FALSE()</f>
        <v>0</v>
      </c>
      <c r="K164" s="0" t="n">
        <f aca="false">IFERROR(__xludf.dummyfunction("""COMPUTED_VALUE"""),183)</f>
        <v>183</v>
      </c>
    </row>
    <row r="165" customFormat="false" ht="15.75" hidden="false" customHeight="false" outlineLevel="0" collapsed="false">
      <c r="E165" s="12"/>
      <c r="F165" s="1" t="n">
        <f aca="false">FALSE()</f>
        <v>0</v>
      </c>
      <c r="G165" s="1" t="n">
        <f aca="false">FALSE()</f>
        <v>0</v>
      </c>
      <c r="H165" s="1" t="n">
        <f aca="false">FALSE()</f>
        <v>0</v>
      </c>
      <c r="I165" s="1" t="n">
        <f aca="false">FALSE()</f>
        <v>0</v>
      </c>
      <c r="J165" s="1" t="n">
        <f aca="false">FALSE()</f>
        <v>0</v>
      </c>
      <c r="K165" s="0" t="n">
        <f aca="false">IFERROR(__xludf.dummyfunction("""COMPUTED_VALUE"""),184)</f>
        <v>184</v>
      </c>
    </row>
    <row r="166" customFormat="false" ht="15.75" hidden="false" customHeight="false" outlineLevel="0" collapsed="false">
      <c r="E166" s="12"/>
      <c r="F166" s="1" t="n">
        <f aca="false">FALSE()</f>
        <v>0</v>
      </c>
      <c r="G166" s="1" t="n">
        <f aca="false">FALSE()</f>
        <v>0</v>
      </c>
      <c r="H166" s="1" t="n">
        <f aca="false">FALSE()</f>
        <v>0</v>
      </c>
      <c r="I166" s="1" t="n">
        <f aca="false">FALSE()</f>
        <v>0</v>
      </c>
      <c r="J166" s="1" t="n">
        <f aca="false">FALSE()</f>
        <v>0</v>
      </c>
      <c r="K166" s="0" t="n">
        <f aca="false">IFERROR(__xludf.dummyfunction("""COMPUTED_VALUE"""),185)</f>
        <v>185</v>
      </c>
    </row>
    <row r="167" customFormat="false" ht="15.75" hidden="false" customHeight="false" outlineLevel="0" collapsed="false">
      <c r="E167" s="12"/>
      <c r="F167" s="1" t="n">
        <f aca="false">FALSE()</f>
        <v>0</v>
      </c>
      <c r="G167" s="1" t="n">
        <f aca="false">FALSE()</f>
        <v>0</v>
      </c>
      <c r="H167" s="1" t="n">
        <f aca="false">FALSE()</f>
        <v>0</v>
      </c>
      <c r="I167" s="1" t="n">
        <f aca="false">FALSE()</f>
        <v>0</v>
      </c>
      <c r="J167" s="1" t="n">
        <f aca="false">FALSE()</f>
        <v>0</v>
      </c>
      <c r="K167" s="0" t="n">
        <f aca="false">IFERROR(__xludf.dummyfunction("""COMPUTED_VALUE"""),186)</f>
        <v>186</v>
      </c>
    </row>
    <row r="168" customFormat="false" ht="15.75" hidden="false" customHeight="false" outlineLevel="0" collapsed="false">
      <c r="E168" s="12"/>
      <c r="F168" s="1" t="n">
        <f aca="false">FALSE()</f>
        <v>0</v>
      </c>
      <c r="G168" s="1" t="n">
        <f aca="false">FALSE()</f>
        <v>0</v>
      </c>
      <c r="H168" s="1" t="n">
        <f aca="false">FALSE()</f>
        <v>0</v>
      </c>
      <c r="I168" s="1" t="n">
        <f aca="false">FALSE()</f>
        <v>0</v>
      </c>
      <c r="J168" s="1" t="n">
        <f aca="false">FALSE()</f>
        <v>0</v>
      </c>
      <c r="K168" s="0" t="n">
        <f aca="false">IFERROR(__xludf.dummyfunction("""COMPUTED_VALUE"""),187)</f>
        <v>187</v>
      </c>
    </row>
    <row r="169" customFormat="false" ht="15.75" hidden="false" customHeight="false" outlineLevel="0" collapsed="false">
      <c r="E169" s="12"/>
      <c r="F169" s="1" t="n">
        <f aca="false">FALSE()</f>
        <v>0</v>
      </c>
      <c r="G169" s="1" t="n">
        <f aca="false">FALSE()</f>
        <v>0</v>
      </c>
      <c r="H169" s="1" t="n">
        <f aca="false">FALSE()</f>
        <v>0</v>
      </c>
      <c r="I169" s="1" t="n">
        <f aca="false">FALSE()</f>
        <v>0</v>
      </c>
      <c r="J169" s="1" t="n">
        <f aca="false">FALSE()</f>
        <v>0</v>
      </c>
      <c r="K169" s="0" t="n">
        <f aca="false">IFERROR(__xludf.dummyfunction("""COMPUTED_VALUE"""),188)</f>
        <v>188</v>
      </c>
    </row>
    <row r="170" customFormat="false" ht="15.75" hidden="false" customHeight="false" outlineLevel="0" collapsed="false">
      <c r="E170" s="12"/>
      <c r="F170" s="1" t="n">
        <f aca="false">FALSE()</f>
        <v>0</v>
      </c>
      <c r="G170" s="1" t="n">
        <f aca="false">FALSE()</f>
        <v>0</v>
      </c>
      <c r="H170" s="1" t="n">
        <f aca="false">FALSE()</f>
        <v>0</v>
      </c>
      <c r="I170" s="1" t="n">
        <f aca="false">FALSE()</f>
        <v>0</v>
      </c>
      <c r="J170" s="1" t="n">
        <f aca="false">FALSE()</f>
        <v>0</v>
      </c>
      <c r="K170" s="0" t="n">
        <f aca="false">IFERROR(__xludf.dummyfunction("""COMPUTED_VALUE"""),189)</f>
        <v>189</v>
      </c>
    </row>
    <row r="171" customFormat="false" ht="15.75" hidden="false" customHeight="false" outlineLevel="0" collapsed="false">
      <c r="E171" s="12"/>
      <c r="F171" s="1" t="n">
        <f aca="false">FALSE()</f>
        <v>0</v>
      </c>
      <c r="G171" s="1" t="n">
        <f aca="false">FALSE()</f>
        <v>0</v>
      </c>
      <c r="H171" s="1" t="n">
        <f aca="false">FALSE()</f>
        <v>0</v>
      </c>
      <c r="I171" s="1" t="n">
        <f aca="false">FALSE()</f>
        <v>0</v>
      </c>
      <c r="J171" s="1" t="n">
        <f aca="false">FALSE()</f>
        <v>0</v>
      </c>
      <c r="K171" s="0" t="n">
        <f aca="false">IFERROR(__xludf.dummyfunction("""COMPUTED_VALUE"""),190)</f>
        <v>190</v>
      </c>
    </row>
    <row r="172" customFormat="false" ht="15.75" hidden="false" customHeight="false" outlineLevel="0" collapsed="false">
      <c r="E172" s="12"/>
      <c r="F172" s="1" t="n">
        <f aca="false">FALSE()</f>
        <v>0</v>
      </c>
      <c r="G172" s="1" t="n">
        <f aca="false">FALSE()</f>
        <v>0</v>
      </c>
      <c r="H172" s="1" t="n">
        <f aca="false">FALSE()</f>
        <v>0</v>
      </c>
      <c r="I172" s="1" t="n">
        <f aca="false">FALSE()</f>
        <v>0</v>
      </c>
      <c r="J172" s="1" t="n">
        <f aca="false">FALSE()</f>
        <v>0</v>
      </c>
      <c r="K172" s="0" t="n">
        <f aca="false">IFERROR(__xludf.dummyfunction("""COMPUTED_VALUE"""),191)</f>
        <v>191</v>
      </c>
    </row>
    <row r="173" customFormat="false" ht="15.75" hidden="false" customHeight="false" outlineLevel="0" collapsed="false">
      <c r="E173" s="12"/>
      <c r="F173" s="1" t="n">
        <f aca="false">FALSE()</f>
        <v>0</v>
      </c>
      <c r="G173" s="1" t="n">
        <f aca="false">FALSE()</f>
        <v>0</v>
      </c>
      <c r="H173" s="1" t="n">
        <f aca="false">FALSE()</f>
        <v>0</v>
      </c>
      <c r="I173" s="1" t="n">
        <f aca="false">FALSE()</f>
        <v>0</v>
      </c>
      <c r="J173" s="1" t="n">
        <f aca="false">FALSE()</f>
        <v>0</v>
      </c>
      <c r="K173" s="0" t="n">
        <f aca="false">IFERROR(__xludf.dummyfunction("""COMPUTED_VALUE"""),192)</f>
        <v>192</v>
      </c>
    </row>
    <row r="174" customFormat="false" ht="15.75" hidden="false" customHeight="false" outlineLevel="0" collapsed="false">
      <c r="E174" s="12"/>
      <c r="F174" s="1" t="n">
        <f aca="false">FALSE()</f>
        <v>0</v>
      </c>
      <c r="G174" s="1" t="n">
        <f aca="false">FALSE()</f>
        <v>0</v>
      </c>
      <c r="H174" s="1" t="n">
        <f aca="false">FALSE()</f>
        <v>0</v>
      </c>
      <c r="I174" s="1" t="n">
        <f aca="false">FALSE()</f>
        <v>0</v>
      </c>
      <c r="J174" s="1" t="n">
        <f aca="false">FALSE()</f>
        <v>0</v>
      </c>
      <c r="K174" s="0" t="n">
        <f aca="false">IFERROR(__xludf.dummyfunction("""COMPUTED_VALUE"""),193)</f>
        <v>193</v>
      </c>
    </row>
    <row r="175" customFormat="false" ht="15.75" hidden="false" customHeight="false" outlineLevel="0" collapsed="false">
      <c r="E175" s="12"/>
      <c r="F175" s="1" t="n">
        <f aca="false">FALSE()</f>
        <v>0</v>
      </c>
      <c r="G175" s="1" t="n">
        <f aca="false">FALSE()</f>
        <v>0</v>
      </c>
      <c r="H175" s="1" t="n">
        <f aca="false">FALSE()</f>
        <v>0</v>
      </c>
      <c r="I175" s="1" t="n">
        <f aca="false">FALSE()</f>
        <v>0</v>
      </c>
      <c r="J175" s="1" t="n">
        <f aca="false">FALSE()</f>
        <v>0</v>
      </c>
      <c r="K175" s="0" t="n">
        <f aca="false">IFERROR(__xludf.dummyfunction("""COMPUTED_VALUE"""),194)</f>
        <v>194</v>
      </c>
    </row>
    <row r="176" customFormat="false" ht="15.75" hidden="false" customHeight="false" outlineLevel="0" collapsed="false">
      <c r="E176" s="12"/>
      <c r="F176" s="7"/>
      <c r="G176" s="7"/>
      <c r="H176" s="7"/>
      <c r="I176" s="7"/>
      <c r="J176" s="7"/>
      <c r="K176" s="0" t="n">
        <f aca="false">IFERROR(__xludf.dummyfunction("""COMPUTED_VALUE"""),195)</f>
        <v>195</v>
      </c>
    </row>
    <row r="177" customFormat="false" ht="15.75" hidden="false" customHeight="false" outlineLevel="0" collapsed="false">
      <c r="E177" s="12"/>
      <c r="K177" s="0" t="n">
        <f aca="false">IFERROR(__xludf.dummyfunction("""COMPUTED_VALUE"""),196)</f>
        <v>196</v>
      </c>
    </row>
    <row r="178" customFormat="false" ht="15.75" hidden="false" customHeight="false" outlineLevel="0" collapsed="false">
      <c r="E178" s="12"/>
      <c r="K178" s="0" t="n">
        <f aca="false">IFERROR(__xludf.dummyfunction("""COMPUTED_VALUE"""),197)</f>
        <v>197</v>
      </c>
    </row>
    <row r="179" customFormat="false" ht="15.75" hidden="false" customHeight="false" outlineLevel="0" collapsed="false">
      <c r="E179" s="12"/>
      <c r="K179" s="0" t="n">
        <f aca="false">IFERROR(__xludf.dummyfunction("""COMPUTED_VALUE"""),198)</f>
        <v>198</v>
      </c>
    </row>
    <row r="180" customFormat="false" ht="15.75" hidden="false" customHeight="false" outlineLevel="0" collapsed="false">
      <c r="E180" s="12"/>
      <c r="K180" s="0" t="n">
        <f aca="false">IFERROR(__xludf.dummyfunction("""COMPUTED_VALUE"""),199)</f>
        <v>199</v>
      </c>
    </row>
    <row r="181" customFormat="false" ht="15.75" hidden="false" customHeight="false" outlineLevel="0" collapsed="false">
      <c r="E181" s="12"/>
      <c r="K181" s="0" t="n">
        <f aca="false">IFERROR(__xludf.dummyfunction("""COMPUTED_VALUE"""),200)</f>
        <v>200</v>
      </c>
    </row>
    <row r="182" customFormat="false" ht="15.75" hidden="false" customHeight="true" outlineLevel="0" collapsed="false">
      <c r="E182" s="12"/>
    </row>
    <row r="183" customFormat="false" ht="15.75" hidden="false" customHeight="true" outlineLevel="0" collapsed="false">
      <c r="E183" s="12"/>
    </row>
    <row r="184" customFormat="false" ht="15.75" hidden="false" customHeight="true" outlineLevel="0" collapsed="false">
      <c r="E184" s="12"/>
    </row>
    <row r="185" customFormat="false" ht="15.75" hidden="false" customHeight="true" outlineLevel="0" collapsed="false">
      <c r="E185" s="12"/>
    </row>
    <row r="186" customFormat="false" ht="15.75" hidden="false" customHeight="true" outlineLevel="0" collapsed="false">
      <c r="E186" s="12"/>
    </row>
    <row r="187" customFormat="false" ht="15.75" hidden="false" customHeight="true" outlineLevel="0" collapsed="false">
      <c r="E187" s="12"/>
    </row>
    <row r="188" customFormat="false" ht="15.75" hidden="false" customHeight="true" outlineLevel="0" collapsed="false">
      <c r="E188" s="12"/>
    </row>
    <row r="189" customFormat="false" ht="15.75" hidden="false" customHeight="true" outlineLevel="0" collapsed="false">
      <c r="E189" s="12"/>
    </row>
    <row r="190" customFormat="false" ht="15.75" hidden="false" customHeight="true" outlineLevel="0" collapsed="false">
      <c r="E190" s="12"/>
    </row>
    <row r="191" customFormat="false" ht="15.75" hidden="false" customHeight="true" outlineLevel="0" collapsed="false">
      <c r="E191" s="12"/>
    </row>
    <row r="192" customFormat="false" ht="15.75" hidden="false" customHeight="true" outlineLevel="0" collapsed="false">
      <c r="E192" s="12"/>
    </row>
    <row r="193" customFormat="false" ht="15.75" hidden="false" customHeight="true" outlineLevel="0" collapsed="false">
      <c r="E193" s="12"/>
    </row>
    <row r="194" customFormat="false" ht="15.75" hidden="false" customHeight="true" outlineLevel="0" collapsed="false">
      <c r="E194" s="12"/>
    </row>
    <row r="195" customFormat="false" ht="15.75" hidden="false" customHeight="true" outlineLevel="0" collapsed="false">
      <c r="E195" s="12"/>
    </row>
    <row r="196" customFormat="false" ht="15.75" hidden="false" customHeight="true" outlineLevel="0" collapsed="false">
      <c r="E196" s="12"/>
    </row>
    <row r="197" customFormat="false" ht="15.75" hidden="false" customHeight="true" outlineLevel="0" collapsed="false">
      <c r="E197" s="12"/>
    </row>
    <row r="198" customFormat="false" ht="15.75" hidden="false" customHeight="true" outlineLevel="0" collapsed="false">
      <c r="E198" s="12"/>
    </row>
    <row r="199" customFormat="false" ht="15.75" hidden="false" customHeight="true" outlineLevel="0" collapsed="false">
      <c r="E199" s="12"/>
    </row>
    <row r="200" customFormat="false" ht="15.75" hidden="false" customHeight="true" outlineLevel="0" collapsed="false">
      <c r="E200" s="12"/>
    </row>
    <row r="201" customFormat="false" ht="15.75" hidden="false" customHeight="false" outlineLevel="0" collapsed="false">
      <c r="C201" s="1" t="s">
        <v>789</v>
      </c>
      <c r="F201" s="0" t="n">
        <f aca="false">COUNTIF(F2:F175,TRUE())</f>
        <v>121</v>
      </c>
      <c r="G201" s="0" t="n">
        <f aca="false">COUNTIF(G2:G175,TRUE())</f>
        <v>116</v>
      </c>
      <c r="H201" s="0" t="n">
        <f aca="false">COUNTIF(H2:H175,TRUE())</f>
        <v>100</v>
      </c>
      <c r="I201" s="0" t="n">
        <f aca="false">COUNTIF(I2:I175,TRUE())</f>
        <v>106</v>
      </c>
      <c r="J201" s="0" t="n">
        <f aca="false">COUNTIF(J2:J175,TRUE())</f>
        <v>95</v>
      </c>
    </row>
    <row r="202" customFormat="false" ht="15.75" hidden="false" customHeight="false" outlineLevel="0" collapsed="false">
      <c r="C202" s="1" t="s">
        <v>790</v>
      </c>
      <c r="F202" s="0" t="n">
        <f aca="false">COUNTA($A$2:$A$200)-F201</f>
        <v>35</v>
      </c>
      <c r="G202" s="0" t="n">
        <f aca="false">COUNTA($A$2:$A$200)-G201</f>
        <v>40</v>
      </c>
      <c r="H202" s="0" t="n">
        <f aca="false">COUNTA($A$2:$A$200)-H201</f>
        <v>56</v>
      </c>
      <c r="I202" s="0" t="n">
        <f aca="false">COUNTA($A$2:$A$200)-I201</f>
        <v>50</v>
      </c>
      <c r="J202" s="0" t="n">
        <f aca="false">COUNTA($A$2:$A$200)-J201</f>
        <v>61</v>
      </c>
    </row>
    <row r="204" customFormat="false" ht="15.75" hidden="false" customHeight="false" outlineLevel="0" collapsed="false">
      <c r="C204" s="1" t="s">
        <v>791</v>
      </c>
      <c r="F204" s="0" t="n">
        <f aca="false">IFERROR(__xludf.dummyfunction("COUNTIF(filter(F2:F175,$D$2:$D$175=117),TRUE)"),55)</f>
        <v>55</v>
      </c>
      <c r="G204" s="0" t="n">
        <f aca="false">IFERROR(__xludf.dummyfunction("COUNTIF(filter(G2:G175,$D$2:$D$175=117),TRUE)"),54)</f>
        <v>54</v>
      </c>
      <c r="H204" s="0" t="n">
        <f aca="false">IFERROR(__xludf.dummyfunction("COUNTIF(filter(H2:H175,$D$2:$D$175=117),TRUE)"),45)</f>
        <v>45</v>
      </c>
      <c r="I204" s="0" t="n">
        <f aca="false">IFERROR(__xludf.dummyfunction("COUNTIF(filter(I2:I175,$D$2:$D$175=117),TRUE)"),46)</f>
        <v>46</v>
      </c>
      <c r="J204" s="0" t="n">
        <f aca="false">IFERROR(__xludf.dummyfunction("COUNTIF(filter(J2:J175,$D$2:$D$175=117),TRUE)"),41)</f>
        <v>41</v>
      </c>
    </row>
    <row r="205" customFormat="false" ht="15.75" hidden="false" customHeight="false" outlineLevel="0" collapsed="false">
      <c r="C205" s="1" t="s">
        <v>792</v>
      </c>
      <c r="F205" s="0" t="n">
        <f aca="false">IFERROR(__xludf.dummyfunction("COUNTA(filter(A2:A175,$D$2:$D$175=117))-F204"),22)</f>
        <v>22</v>
      </c>
      <c r="G205" s="0" t="n">
        <f aca="false">IFERROR(__xludf.dummyfunction("COUNTA(filter(B2:B175,$D$2:$D$175=117))-G204"),23)</f>
        <v>23</v>
      </c>
      <c r="H205" s="0" t="n">
        <f aca="false">IFERROR(__xludf.dummyfunction("COUNTA(filter(C2:C175,$D$2:$D$175=117))-H204"),32)</f>
        <v>32</v>
      </c>
      <c r="I205" s="0" t="n">
        <f aca="false">IFERROR(__xludf.dummyfunction("COUNTA(filter(D2:D175,$D$2:$D$175=117))-I204"),31)</f>
        <v>31</v>
      </c>
      <c r="J205" s="0" t="n">
        <f aca="false">IFERROR(__xludf.dummyfunction("COUNTA(filter(E2:E175,$D$2:$D$175=117))-J204"),36)</f>
        <v>36</v>
      </c>
    </row>
  </sheetData>
  <conditionalFormatting sqref="M19">
    <cfRule type="cellIs" priority="2" operator="equal" aboveAverage="0" equalAverage="0" bottom="0" percent="0" rank="0" text="" dxfId="1">
      <formula>"Загружено"</formula>
    </cfRule>
  </conditionalFormatting>
  <conditionalFormatting sqref="M19">
    <cfRule type="cellIs" priority="3" operator="equal" aboveAverage="0" equalAverage="0" bottom="0" percent="0" rank="0" text="" dxfId="11">
      <formula>"Не загружено"</formula>
    </cfRule>
  </conditionalFormatting>
  <conditionalFormatting sqref="M19">
    <cfRule type="cellIs" priority="4" operator="equal" aboveAverage="0" equalAverage="0" bottom="0" percent="0" rank="0" text="" dxfId="0">
      <formula>"Пиздец"</formula>
    </cfRule>
  </conditionalFormatting>
  <conditionalFormatting sqref="E2:E200">
    <cfRule type="cellIs" priority="5" operator="equal" aboveAverage="0" equalAverage="0" bottom="0" percent="0" rank="0" text="" dxfId="4">
      <formula>"Английский"</formula>
    </cfRule>
  </conditionalFormatting>
  <conditionalFormatting sqref="E2:E200">
    <cfRule type="cellIs" priority="6" operator="equal" aboveAverage="0" equalAverage="0" bottom="0" percent="0" rank="0" text="" dxfId="5">
      <formula>"Знакомство с теорией графов"</formula>
    </cfRule>
  </conditionalFormatting>
  <conditionalFormatting sqref="E2:E200">
    <cfRule type="cellIs" priority="7" operator="equal" aboveAverage="0" equalAverage="0" bottom="0" percent="0" rank="0" text="" dxfId="1">
      <formula>"Инженерная и компьютерная графика, начертательная геометрия"</formula>
    </cfRule>
  </conditionalFormatting>
  <conditionalFormatting sqref="E2:E200">
    <cfRule type="cellIs" priority="8" operator="equal" aboveAverage="0" equalAverage="0" bottom="0" percent="0" rank="0" text="" dxfId="6">
      <formula>"От демократии к национализму: все о национальных меньшинствах в правовых системах мира"</formula>
    </cfRule>
  </conditionalFormatting>
  <conditionalFormatting sqref="E2:E200">
    <cfRule type="cellIs" priority="9" operator="equal" aboveAverage="0" equalAverage="0" bottom="0" percent="0" rank="0" text="" dxfId="7">
      <formula>"Попробуй не сойти с ума"</formula>
    </cfRule>
  </conditionalFormatting>
  <conditionalFormatting sqref="E2:E200">
    <cfRule type="cellIs" priority="10" operator="equal" aboveAverage="0" equalAverage="0" bottom="0" percent="0" rank="0" text="" dxfId="8">
      <formula>"Презентация, которую запомнят: инструкция по применению"</formula>
    </cfRule>
  </conditionalFormatting>
  <conditionalFormatting sqref="E2:E200">
    <cfRule type="cellIs" priority="11" operator="equal" aboveAverage="0" equalAverage="0" bottom="0" percent="0" rank="0" text="" dxfId="9">
      <formula>"Русское искусство"</formula>
    </cfRule>
  </conditionalFormatting>
  <conditionalFormatting sqref="E2:E200">
    <cfRule type="cellIs" priority="12" operator="equal" aboveAverage="0" equalAverage="0" bottom="0" percent="0" rank="0" text="" dxfId="10">
      <formula>"Теория большого математика"</formula>
    </cfRule>
  </conditionalFormatting>
  <conditionalFormatting sqref="E2:E200">
    <cfRule type="cellIs" priority="13" operator="equal" aboveAverage="0" equalAverage="0" bottom="0" percent="0" rank="0" text="" dxfId="12">
      <formula>"Теория игр"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5.57"/>
    <col collapsed="false" customWidth="true" hidden="false" outlineLevel="0" max="4" min="4" style="0" width="6.01"/>
  </cols>
  <sheetData>
    <row r="1" customFormat="false" ht="15.75" hidden="false" customHeight="false" outlineLevel="0" collapsed="false">
      <c r="F1" s="33" t="n">
        <v>43661</v>
      </c>
      <c r="G1" s="33" t="n">
        <v>43662</v>
      </c>
      <c r="H1" s="33" t="n">
        <v>43663</v>
      </c>
      <c r="I1" s="33" t="n">
        <v>43664</v>
      </c>
      <c r="J1" s="33" t="n">
        <v>43665</v>
      </c>
    </row>
    <row r="2" customFormat="false" ht="15.75" hidden="false" customHeight="false" outlineLevel="0" collapsed="false">
      <c r="A2" s="0" t="str">
        <f aca="false">IFERROR(__xludf.dummyfunction("filter(SORT('Переформатированный ответ'!B2:E200,'Переформатированный ответ'!$K$2:$K$200,TRUE,'Переформатированный ответ'!$B$2:$B$200,TRUE),SORT('Переформатированный ответ'!O2:O200,'Переформатированный ответ'!$K$2:$K$200,TRUE,'Переформатированный ответ'!$B"&amp;"$2:$B$200,TRUE) &gt; -1,SORT('Переформатированный ответ'!K2:K200,'Переформатированный ответ'!$K$2:$K$200,TRUE,'Переформатированный ответ'!$B$2:$B$200,TRUE) &lt;&gt; ""Меня не будет в это время"")"),"Алексеев ")</f>
        <v>Алексеев</v>
      </c>
      <c r="B2" s="0" t="str">
        <f aca="false">IFERROR(__xludf.dummyfunction("""COMPUTED_VALUE"""),"Сергей")</f>
        <v>Сергей</v>
      </c>
      <c r="C2" s="0" t="n">
        <f aca="false">IFERROR(__xludf.dummyfunction("""COMPUTED_VALUE"""),10)</f>
        <v>10</v>
      </c>
      <c r="D2" s="0" t="n">
        <f aca="false">IFERROR(__xludf.dummyfunction("""COMPUTED_VALUE"""),117)</f>
        <v>117</v>
      </c>
      <c r="E2" s="12" t="str">
        <f aca="false">IFERROR(__xludf.dummyfunction("filter(SORT('Переформатированный ответ'!K2:K200,'Переформатированный ответ'!$K$2:$K$200,TRUE,'Переформатированный ответ'!$B$2:$B$200,TRUE),SORT('Переформатированный ответ'!O2:O200,'Переформатированный ответ'!$K$2:$K$200,TRUE,'Переформатированный ответ'!$B"&amp;"$2:$B$200,TRUE) &gt; -1,SORT('Переформатированный ответ'!K2:K200,'Переформатированный ответ'!$K$2:$K$200,TRUE,'Переформатированный ответ'!$B$2:$B$200,TRUE) &lt;&gt; ""Меня не будет в это время"")"),"Введение в макроэкономику")</f>
        <v>Введение в макроэкономику</v>
      </c>
      <c r="F2" s="1" t="n">
        <f aca="false">TRUE()</f>
        <v>1</v>
      </c>
      <c r="G2" s="1" t="n">
        <f aca="false">FALSE()</f>
        <v>0</v>
      </c>
      <c r="H2" s="1" t="n">
        <f aca="false">FALSE()</f>
        <v>0</v>
      </c>
      <c r="I2" s="1" t="n">
        <f aca="false">FALSE()</f>
        <v>0</v>
      </c>
      <c r="J2" s="1" t="n">
        <f aca="false">FALSE()</f>
        <v>0</v>
      </c>
      <c r="K2" s="0" t="n">
        <f aca="false">IFERROR(__xludf.dummyfunction("filter(SORT(ARRAYFORMULA(row('Переформатированный ответ'!K2:K200)),'Переформатированный ответ'!$K$2:$K$200,TRUE,'Переформатированный ответ'!$B$2:$B$200,TRUE),SORT('Переформатированный ответ'!O2:O200,'Переформатированный ответ'!$K$2:$K$200,TRUE,'Переформат"&amp;"ированный ответ'!$B$2:$B$200,TRUE) &gt; -1,SORT('Переформатированный ответ'!K2:K200,'Переформатированный ответ'!$K$2:$K$200,TRUE,'Переформатированный ответ'!$B$2:$B$200,TRUE) &lt;&gt; ""Меня не будет в это время"")"),114)</f>
        <v>114</v>
      </c>
      <c r="O2" s="0" t="str">
        <f aca="false">IFERROR(__xludf.dummyfunction("UNIQUE(E2:E200)"),"Введение в макроэкономику")</f>
        <v>Введение в макроэкономику</v>
      </c>
    </row>
    <row r="3" customFormat="false" ht="15.75" hidden="false" customHeight="false" outlineLevel="0" collapsed="false">
      <c r="A3" s="0" t="str">
        <f aca="false">IFERROR(__xludf.dummyfunction("""COMPUTED_VALUE"""),"Белозеров")</f>
        <v>Белозеров</v>
      </c>
      <c r="B3" s="0" t="str">
        <f aca="false">IFERROR(__xludf.dummyfunction("""COMPUTED_VALUE"""),"Алексей")</f>
        <v>Алексей</v>
      </c>
      <c r="C3" s="0" t="n">
        <f aca="false">IFERROR(__xludf.dummyfunction("""COMPUTED_VALUE"""),9)</f>
        <v>9</v>
      </c>
      <c r="D3" s="0" t="n">
        <f aca="false">IFERROR(__xludf.dummyfunction("""COMPUTED_VALUE"""),56)</f>
        <v>56</v>
      </c>
      <c r="E3" s="12" t="str">
        <f aca="false">IFERROR(__xludf.dummyfunction("""COMPUTED_VALUE"""),"Введение в макроэкономику")</f>
        <v>Введение в макроэкономику</v>
      </c>
      <c r="F3" s="1" t="n">
        <f aca="false">TRUE()</f>
        <v>1</v>
      </c>
      <c r="G3" s="1" t="n">
        <f aca="false">TRUE()</f>
        <v>1</v>
      </c>
      <c r="H3" s="1" t="n">
        <f aca="false">TRUE()</f>
        <v>1</v>
      </c>
      <c r="I3" s="1" t="n">
        <f aca="false">TRUE()</f>
        <v>1</v>
      </c>
      <c r="J3" s="1" t="n">
        <f aca="false">TRUE()</f>
        <v>1</v>
      </c>
      <c r="K3" s="0" t="n">
        <f aca="false">IFERROR(__xludf.dummyfunction("""COMPUTED_VALUE"""),166)</f>
        <v>166</v>
      </c>
      <c r="O3" s="0" t="str">
        <f aca="false">IFERROR(__xludf.dummyfunction("""COMPUTED_VALUE"""),"Международное право")</f>
        <v>Международное право</v>
      </c>
    </row>
    <row r="4" customFormat="false" ht="15.75" hidden="false" customHeight="false" outlineLevel="0" collapsed="false">
      <c r="A4" s="0" t="str">
        <f aca="false">IFERROR(__xludf.dummyfunction("""COMPUTED_VALUE"""),"Булучевская")</f>
        <v>Булучевская</v>
      </c>
      <c r="B4" s="0" t="str">
        <f aca="false">IFERROR(__xludf.dummyfunction("""COMPUTED_VALUE"""),"Нина")</f>
        <v>Нина</v>
      </c>
      <c r="C4" s="0" t="n">
        <f aca="false">IFERROR(__xludf.dummyfunction("""COMPUTED_VALUE"""),9)</f>
        <v>9</v>
      </c>
      <c r="D4" s="0" t="n">
        <f aca="false">IFERROR(__xludf.dummyfunction("""COMPUTED_VALUE"""),117)</f>
        <v>117</v>
      </c>
      <c r="E4" s="12" t="str">
        <f aca="false">IFERROR(__xludf.dummyfunction("""COMPUTED_VALUE"""),"Введение в макроэкономику")</f>
        <v>Введение в макроэкономику</v>
      </c>
      <c r="F4" s="1" t="n">
        <f aca="false">FALSE()</f>
        <v>0</v>
      </c>
      <c r="G4" s="1" t="n">
        <f aca="false">FALSE()</f>
        <v>0</v>
      </c>
      <c r="H4" s="1" t="n">
        <f aca="false">FALSE()</f>
        <v>0</v>
      </c>
      <c r="I4" s="1" t="n">
        <f aca="false">FALSE()</f>
        <v>0</v>
      </c>
      <c r="J4" s="1" t="n">
        <f aca="false">FALSE()</f>
        <v>0</v>
      </c>
      <c r="K4" s="0" t="n">
        <f aca="false">IFERROR(__xludf.dummyfunction("""COMPUTED_VALUE"""),134)</f>
        <v>134</v>
      </c>
      <c r="M4" s="34" t="s">
        <v>787</v>
      </c>
      <c r="O4" s="0" t="str">
        <f aca="false">IFERROR(__xludf.dummyfunction("""COMPUTED_VALUE"""),"Мобильный геймдев (вторая часть)")</f>
        <v>Мобильный геймдев (вторая часть)</v>
      </c>
    </row>
    <row r="5" customFormat="false" ht="15.75" hidden="false" customHeight="false" outlineLevel="0" collapsed="false">
      <c r="A5" s="0" t="str">
        <f aca="false">IFERROR(__xludf.dummyfunction("""COMPUTED_VALUE"""),"Винтер")</f>
        <v>Винтер</v>
      </c>
      <c r="B5" s="0" t="str">
        <f aca="false">IFERROR(__xludf.dummyfunction("""COMPUTED_VALUE"""),"Кирилл")</f>
        <v>Кирилл</v>
      </c>
      <c r="C5" s="0" t="n">
        <f aca="false">IFERROR(__xludf.dummyfunction("""COMPUTED_VALUE"""),8)</f>
        <v>8</v>
      </c>
      <c r="D5" s="0" t="n">
        <f aca="false">IFERROR(__xludf.dummyfunction("""COMPUTED_VALUE"""),117)</f>
        <v>117</v>
      </c>
      <c r="E5" s="12" t="str">
        <f aca="false">IFERROR(__xludf.dummyfunction("""COMPUTED_VALUE"""),"Введение в макроэкономику")</f>
        <v>Введение в макроэкономику</v>
      </c>
      <c r="F5" s="1" t="n">
        <f aca="false">FALSE()</f>
        <v>0</v>
      </c>
      <c r="G5" s="1" t="n">
        <f aca="false">FALSE()</f>
        <v>0</v>
      </c>
      <c r="H5" s="1" t="n">
        <f aca="false">FALSE()</f>
        <v>0</v>
      </c>
      <c r="I5" s="1" t="n">
        <f aca="false">FALSE()</f>
        <v>0</v>
      </c>
      <c r="J5" s="1" t="n">
        <f aca="false">FALSE()</f>
        <v>0</v>
      </c>
      <c r="K5" s="0" t="n">
        <f aca="false">IFERROR(__xludf.dummyfunction("""COMPUTED_VALUE"""),153)</f>
        <v>153</v>
      </c>
      <c r="O5" s="0" t="str">
        <f aca="false">IFERROR(__xludf.dummyfunction("""COMPUTED_VALUE"""),"Мозговой штурм")</f>
        <v>Мозговой штурм</v>
      </c>
    </row>
    <row r="6" customFormat="false" ht="15.75" hidden="false" customHeight="false" outlineLevel="0" collapsed="false">
      <c r="A6" s="0" t="str">
        <f aca="false">IFERROR(__xludf.dummyfunction("""COMPUTED_VALUE"""),"Гричкоедовой")</f>
        <v>Гричкоедовой</v>
      </c>
      <c r="B6" s="0" t="str">
        <f aca="false">IFERROR(__xludf.dummyfunction("""COMPUTED_VALUE"""),"Анастасия")</f>
        <v>Анастасия</v>
      </c>
      <c r="C6" s="0" t="n">
        <f aca="false">IFERROR(__xludf.dummyfunction("""COMPUTED_VALUE"""),10)</f>
        <v>10</v>
      </c>
      <c r="D6" s="0" t="n">
        <f aca="false">IFERROR(__xludf.dummyfunction("""COMPUTED_VALUE"""),149)</f>
        <v>149</v>
      </c>
      <c r="E6" s="12" t="str">
        <f aca="false">IFERROR(__xludf.dummyfunction("""COMPUTED_VALUE"""),"Введение в макроэкономику")</f>
        <v>Введение в макроэкономику</v>
      </c>
      <c r="F6" s="1" t="n">
        <f aca="false">FALSE()</f>
        <v>0</v>
      </c>
      <c r="G6" s="1" t="n">
        <f aca="false">FALSE()</f>
        <v>0</v>
      </c>
      <c r="H6" s="1" t="n">
        <f aca="false">FALSE()</f>
        <v>0</v>
      </c>
      <c r="I6" s="1" t="n">
        <f aca="false">FALSE()</f>
        <v>0</v>
      </c>
      <c r="J6" s="1" t="n">
        <f aca="false">FALSE()</f>
        <v>0</v>
      </c>
      <c r="K6" s="0" t="n">
        <f aca="false">IFERROR(__xludf.dummyfunction("""COMPUTED_VALUE"""),162)</f>
        <v>162</v>
      </c>
      <c r="O6" s="0" t="str">
        <f aca="false">IFERROR(__xludf.dummyfunction("""COMPUTED_VALUE"""),"Олимпиадная геометрия")</f>
        <v>Олимпиадная геометрия</v>
      </c>
    </row>
    <row r="7" customFormat="false" ht="15.75" hidden="false" customHeight="false" outlineLevel="0" collapsed="false">
      <c r="A7" s="0" t="str">
        <f aca="false">IFERROR(__xludf.dummyfunction("""COMPUTED_VALUE"""),"Денисова ")</f>
        <v>Денисова</v>
      </c>
      <c r="B7" s="0" t="str">
        <f aca="false">IFERROR(__xludf.dummyfunction("""COMPUTED_VALUE"""),"Маргарита")</f>
        <v>Маргарита</v>
      </c>
      <c r="C7" s="0" t="n">
        <f aca="false">IFERROR(__xludf.dummyfunction("""COMPUTED_VALUE"""),9)</f>
        <v>9</v>
      </c>
      <c r="D7" s="0" t="n">
        <f aca="false">IFERROR(__xludf.dummyfunction("""COMPUTED_VALUE"""),117)</f>
        <v>117</v>
      </c>
      <c r="E7" s="12" t="str">
        <f aca="false">IFERROR(__xludf.dummyfunction("""COMPUTED_VALUE"""),"Введение в макроэкономику")</f>
        <v>Введение в макроэкономику</v>
      </c>
      <c r="F7" s="1" t="n">
        <f aca="false">TRUE()</f>
        <v>1</v>
      </c>
      <c r="G7" s="1" t="n">
        <f aca="false">TRUE()</f>
        <v>1</v>
      </c>
      <c r="H7" s="1" t="n">
        <f aca="false">TRUE()</f>
        <v>1</v>
      </c>
      <c r="I7" s="1" t="n">
        <f aca="false">FALSE()</f>
        <v>0</v>
      </c>
      <c r="J7" s="1" t="n">
        <f aca="false">TRUE()</f>
        <v>1</v>
      </c>
      <c r="K7" s="0" t="n">
        <f aca="false">IFERROR(__xludf.dummyfunction("""COMPUTED_VALUE"""),142)</f>
        <v>142</v>
      </c>
      <c r="O7" s="0" t="str">
        <f aca="false">IFERROR(__xludf.dummyfunction("""COMPUTED_VALUE"""),"Питон")</f>
        <v>Питон</v>
      </c>
    </row>
    <row r="8" customFormat="false" ht="15.75" hidden="false" customHeight="false" outlineLevel="0" collapsed="false">
      <c r="A8" s="0" t="str">
        <f aca="false">IFERROR(__xludf.dummyfunction("""COMPUTED_VALUE"""),"Жигулина")</f>
        <v>Жигулина</v>
      </c>
      <c r="B8" s="0" t="str">
        <f aca="false">IFERROR(__xludf.dummyfunction("""COMPUTED_VALUE"""),"Виктория")</f>
        <v>Виктория</v>
      </c>
      <c r="C8" s="0" t="n">
        <f aca="false">IFERROR(__xludf.dummyfunction("""COMPUTED_VALUE"""),8)</f>
        <v>8</v>
      </c>
      <c r="D8" s="0" t="n">
        <f aca="false">IFERROR(__xludf.dummyfunction("""COMPUTED_VALUE"""),117)</f>
        <v>117</v>
      </c>
      <c r="E8" s="12" t="str">
        <f aca="false">IFERROR(__xludf.dummyfunction("""COMPUTED_VALUE"""),"Введение в макроэкономику")</f>
        <v>Введение в макроэкономику</v>
      </c>
      <c r="F8" s="1" t="n">
        <f aca="false">FALSE()</f>
        <v>0</v>
      </c>
      <c r="G8" s="1" t="n">
        <f aca="false">FALSE()</f>
        <v>0</v>
      </c>
      <c r="H8" s="1" t="n">
        <f aca="false">FALSE()</f>
        <v>0</v>
      </c>
      <c r="I8" s="1" t="n">
        <f aca="false">FALSE()</f>
        <v>0</v>
      </c>
      <c r="J8" s="1" t="n">
        <f aca="false">FALSE()</f>
        <v>0</v>
      </c>
      <c r="K8" s="0" t="n">
        <f aca="false">IFERROR(__xludf.dummyfunction("""COMPUTED_VALUE"""),130)</f>
        <v>130</v>
      </c>
      <c r="O8" s="0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</row>
    <row r="9" customFormat="false" ht="15.75" hidden="false" customHeight="false" outlineLevel="0" collapsed="false">
      <c r="A9" s="0" t="str">
        <f aca="false">IFERROR(__xludf.dummyfunction("""COMPUTED_VALUE"""),"Измайлов")</f>
        <v>Измайлов</v>
      </c>
      <c r="B9" s="0" t="str">
        <f aca="false">IFERROR(__xludf.dummyfunction("""COMPUTED_VALUE"""),"Матвей")</f>
        <v>Матвей</v>
      </c>
      <c r="C9" s="0" t="n">
        <f aca="false">IFERROR(__xludf.dummyfunction("""COMPUTED_VALUE"""),10)</f>
        <v>10</v>
      </c>
      <c r="D9" s="0" t="n">
        <f aca="false">IFERROR(__xludf.dummyfunction("""COMPUTED_VALUE"""),64)</f>
        <v>64</v>
      </c>
      <c r="E9" s="12" t="str">
        <f aca="false">IFERROR(__xludf.dummyfunction("""COMPUTED_VALUE"""),"Введение в макроэкономику")</f>
        <v>Введение в макроэкономику</v>
      </c>
      <c r="F9" s="1" t="n">
        <f aca="false">TRUE()</f>
        <v>1</v>
      </c>
      <c r="G9" s="1" t="n">
        <f aca="false">TRUE()</f>
        <v>1</v>
      </c>
      <c r="H9" s="1" t="n">
        <f aca="false">TRUE()</f>
        <v>1</v>
      </c>
      <c r="I9" s="1" t="n">
        <f aca="false">FALSE()</f>
        <v>0</v>
      </c>
      <c r="J9" s="1" t="n">
        <f aca="false">FALSE()</f>
        <v>0</v>
      </c>
      <c r="K9" s="0" t="n">
        <f aca="false">IFERROR(__xludf.dummyfunction("""COMPUTED_VALUE"""),57)</f>
        <v>57</v>
      </c>
      <c r="O9" s="0" t="str">
        <f aca="false">IFERROR(__xludf.dummyfunction("""COMPUTED_VALUE"""),"Теория множеств")</f>
        <v>Теория множеств</v>
      </c>
    </row>
    <row r="10" customFormat="false" ht="15.75" hidden="false" customHeight="false" outlineLevel="0" collapsed="false">
      <c r="A10" s="0" t="str">
        <f aca="false">IFERROR(__xludf.dummyfunction("""COMPUTED_VALUE"""),"Коломиец")</f>
        <v>Коломиец</v>
      </c>
      <c r="B10" s="0" t="str">
        <f aca="false">IFERROR(__xludf.dummyfunction("""COMPUTED_VALUE"""),"Мария")</f>
        <v>Мария</v>
      </c>
      <c r="C10" s="0" t="n">
        <f aca="false">IFERROR(__xludf.dummyfunction("""COMPUTED_VALUE"""),9)</f>
        <v>9</v>
      </c>
      <c r="D10" s="0" t="n">
        <f aca="false">IFERROR(__xludf.dummyfunction("""COMPUTED_VALUE"""),29)</f>
        <v>29</v>
      </c>
      <c r="E10" s="12" t="str">
        <f aca="false">IFERROR(__xludf.dummyfunction("""COMPUTED_VALUE"""),"Введение в макроэкономику")</f>
        <v>Введение в макроэкономику</v>
      </c>
      <c r="F10" s="1" t="n">
        <f aca="false">TRUE()</f>
        <v>1</v>
      </c>
      <c r="G10" s="1" t="n">
        <f aca="false">TRUE()</f>
        <v>1</v>
      </c>
      <c r="H10" s="1" t="n">
        <f aca="false">TRUE()</f>
        <v>1</v>
      </c>
      <c r="I10" s="1" t="n">
        <f aca="false">TRUE()</f>
        <v>1</v>
      </c>
      <c r="J10" s="1" t="n">
        <f aca="false">TRUE()</f>
        <v>1</v>
      </c>
      <c r="K10" s="0" t="n">
        <f aca="false">IFERROR(__xludf.dummyfunction("""COMPUTED_VALUE"""),106)</f>
        <v>106</v>
      </c>
      <c r="O10" s="0" t="str">
        <f aca="false">IFERROR(__xludf.dummyfunction("""COMPUTED_VALUE"""),"Цифровая электроника")</f>
        <v>Цифровая электроника</v>
      </c>
    </row>
    <row r="11" customFormat="false" ht="15.75" hidden="false" customHeight="false" outlineLevel="0" collapsed="false">
      <c r="A11" s="0" t="str">
        <f aca="false">IFERROR(__xludf.dummyfunction("""COMPUTED_VALUE"""),"Кузин ")</f>
        <v>Кузин</v>
      </c>
      <c r="B11" s="0" t="str">
        <f aca="false">IFERROR(__xludf.dummyfunction("""COMPUTED_VALUE"""),"Никита")</f>
        <v>Никита</v>
      </c>
      <c r="C11" s="0" t="n">
        <f aca="false">IFERROR(__xludf.dummyfunction("""COMPUTED_VALUE"""),11)</f>
        <v>11</v>
      </c>
      <c r="D11" s="0" t="n">
        <f aca="false">IFERROR(__xludf.dummyfunction("""COMPUTED_VALUE"""),149)</f>
        <v>149</v>
      </c>
      <c r="E11" s="12" t="str">
        <f aca="false">IFERROR(__xludf.dummyfunction("""COMPUTED_VALUE"""),"Введение в макроэкономику")</f>
        <v>Введение в макроэкономику</v>
      </c>
      <c r="F11" s="1" t="n">
        <f aca="false">TRUE()</f>
        <v>1</v>
      </c>
      <c r="G11" s="1" t="n">
        <f aca="false">TRUE()</f>
        <v>1</v>
      </c>
      <c r="H11" s="1" t="n">
        <f aca="false">TRUE()</f>
        <v>1</v>
      </c>
      <c r="I11" s="1" t="n">
        <f aca="false">TRUE()</f>
        <v>1</v>
      </c>
      <c r="J11" s="1" t="n">
        <f aca="false">TRUE()</f>
        <v>1</v>
      </c>
      <c r="K11" s="0" t="n">
        <f aca="false">IFERROR(__xludf.dummyfunction("""COMPUTED_VALUE"""),46)</f>
        <v>46</v>
      </c>
    </row>
    <row r="12" customFormat="false" ht="15.75" hidden="false" customHeight="false" outlineLevel="0" collapsed="false">
      <c r="A12" s="0" t="str">
        <f aca="false">IFERROR(__xludf.dummyfunction("""COMPUTED_VALUE"""),"Логинов")</f>
        <v>Логинов</v>
      </c>
      <c r="B12" s="0" t="str">
        <f aca="false">IFERROR(__xludf.dummyfunction("""COMPUTED_VALUE"""),"Владислав")</f>
        <v>Владислав</v>
      </c>
      <c r="C12" s="0" t="n">
        <f aca="false">IFERROR(__xludf.dummyfunction("""COMPUTED_VALUE"""),7)</f>
        <v>7</v>
      </c>
      <c r="D12" s="0" t="n">
        <f aca="false">IFERROR(__xludf.dummyfunction("""COMPUTED_VALUE"""),117)</f>
        <v>117</v>
      </c>
      <c r="E12" s="12" t="str">
        <f aca="false">IFERROR(__xludf.dummyfunction("""COMPUTED_VALUE"""),"Введение в макроэкономику")</f>
        <v>Введение в макроэкономику</v>
      </c>
      <c r="F12" s="1" t="n">
        <f aca="false">TRUE()</f>
        <v>1</v>
      </c>
      <c r="G12" s="1" t="n">
        <f aca="false">TRUE()</f>
        <v>1</v>
      </c>
      <c r="H12" s="1" t="n">
        <f aca="false">TRUE()</f>
        <v>1</v>
      </c>
      <c r="I12" s="1" t="n">
        <f aca="false">TRUE()</f>
        <v>1</v>
      </c>
      <c r="J12" s="1" t="n">
        <f aca="false">TRUE()</f>
        <v>1</v>
      </c>
      <c r="K12" s="0" t="n">
        <f aca="false">IFERROR(__xludf.dummyfunction("""COMPUTED_VALUE"""),95)</f>
        <v>95</v>
      </c>
      <c r="M12" s="34" t="s">
        <v>788</v>
      </c>
    </row>
    <row r="13" customFormat="false" ht="15.75" hidden="false" customHeight="false" outlineLevel="0" collapsed="false">
      <c r="A13" s="0" t="str">
        <f aca="false">IFERROR(__xludf.dummyfunction("""COMPUTED_VALUE"""),"Назаренко")</f>
        <v>Назаренко</v>
      </c>
      <c r="B13" s="0" t="str">
        <f aca="false">IFERROR(__xludf.dummyfunction("""COMPUTED_VALUE"""),"Данила")</f>
        <v>Данила</v>
      </c>
      <c r="C13" s="0" t="n">
        <f aca="false">IFERROR(__xludf.dummyfunction("""COMPUTED_VALUE"""),9)</f>
        <v>9</v>
      </c>
      <c r="D13" s="0" t="n">
        <f aca="false">IFERROR(__xludf.dummyfunction("""COMPUTED_VALUE"""),75)</f>
        <v>75</v>
      </c>
      <c r="E13" s="12" t="str">
        <f aca="false">IFERROR(__xludf.dummyfunction("""COMPUTED_VALUE"""),"Введение в макроэкономику")</f>
        <v>Введение в макроэкономику</v>
      </c>
      <c r="F13" s="1" t="n">
        <f aca="false">FALSE()</f>
        <v>0</v>
      </c>
      <c r="G13" s="1" t="n">
        <f aca="false">FALSE()</f>
        <v>0</v>
      </c>
      <c r="H13" s="1" t="n">
        <f aca="false">FALSE()</f>
        <v>0</v>
      </c>
      <c r="I13" s="1" t="n">
        <f aca="false">FALSE()</f>
        <v>0</v>
      </c>
      <c r="J13" s="1" t="n">
        <f aca="false">FALSE()</f>
        <v>0</v>
      </c>
      <c r="K13" s="0" t="n">
        <f aca="false">IFERROR(__xludf.dummyfunction("""COMPUTED_VALUE"""),110)</f>
        <v>110</v>
      </c>
    </row>
    <row r="14" customFormat="false" ht="15.75" hidden="false" customHeight="false" outlineLevel="0" collapsed="false">
      <c r="A14" s="0" t="str">
        <f aca="false">IFERROR(__xludf.dummyfunction("""COMPUTED_VALUE"""),"Николаев ")</f>
        <v>Николаев</v>
      </c>
      <c r="B14" s="0" t="str">
        <f aca="false">IFERROR(__xludf.dummyfunction("""COMPUTED_VALUE"""),"Сергей ")</f>
        <v>Сергей</v>
      </c>
      <c r="C14" s="0" t="n">
        <f aca="false">IFERROR(__xludf.dummyfunction("""COMPUTED_VALUE"""),8)</f>
        <v>8</v>
      </c>
      <c r="D14" s="0" t="n">
        <f aca="false">IFERROR(__xludf.dummyfunction("""COMPUTED_VALUE"""),146)</f>
        <v>146</v>
      </c>
      <c r="E14" s="12" t="str">
        <f aca="false">IFERROR(__xludf.dummyfunction("""COMPUTED_VALUE"""),"Введение в макроэкономику")</f>
        <v>Введение в макроэкономику</v>
      </c>
      <c r="F14" s="1" t="n">
        <f aca="false">FALSE()</f>
        <v>0</v>
      </c>
      <c r="G14" s="1" t="n">
        <f aca="false">FALSE()</f>
        <v>0</v>
      </c>
      <c r="H14" s="1" t="n">
        <f aca="false">FALSE()</f>
        <v>0</v>
      </c>
      <c r="I14" s="1" t="n">
        <f aca="false">FALSE()</f>
        <v>0</v>
      </c>
      <c r="J14" s="1" t="n">
        <f aca="false">FALSE()</f>
        <v>0</v>
      </c>
      <c r="K14" s="0" t="n">
        <f aca="false">IFERROR(__xludf.dummyfunction("""COMPUTED_VALUE"""),127)</f>
        <v>127</v>
      </c>
    </row>
    <row r="15" customFormat="false" ht="15.75" hidden="false" customHeight="false" outlineLevel="0" collapsed="false">
      <c r="A15" s="0" t="str">
        <f aca="false">IFERROR(__xludf.dummyfunction("""COMPUTED_VALUE"""),"Орешин")</f>
        <v>Орешин</v>
      </c>
      <c r="B15" s="0" t="str">
        <f aca="false">IFERROR(__xludf.dummyfunction("""COMPUTED_VALUE"""),"Константин ")</f>
        <v>Константин</v>
      </c>
      <c r="C15" s="0" t="n">
        <f aca="false">IFERROR(__xludf.dummyfunction("""COMPUTED_VALUE"""),7)</f>
        <v>7</v>
      </c>
      <c r="D15" s="0" t="n">
        <f aca="false">IFERROR(__xludf.dummyfunction("""COMPUTED_VALUE"""),117)</f>
        <v>117</v>
      </c>
      <c r="E15" s="12" t="str">
        <f aca="false">IFERROR(__xludf.dummyfunction("""COMPUTED_VALUE"""),"Введение в макроэкономику")</f>
        <v>Введение в макроэкономику</v>
      </c>
      <c r="F15" s="1" t="n">
        <f aca="false">TRUE()</f>
        <v>1</v>
      </c>
      <c r="G15" s="1" t="n">
        <f aca="false">TRUE()</f>
        <v>1</v>
      </c>
      <c r="H15" s="1" t="n">
        <f aca="false">TRUE()</f>
        <v>1</v>
      </c>
      <c r="I15" s="1" t="n">
        <f aca="false">TRUE()</f>
        <v>1</v>
      </c>
      <c r="J15" s="1" t="n">
        <f aca="false">TRUE()</f>
        <v>1</v>
      </c>
      <c r="K15" s="0" t="n">
        <f aca="false">IFERROR(__xludf.dummyfunction("""COMPUTED_VALUE"""),58)</f>
        <v>58</v>
      </c>
    </row>
    <row r="16" customFormat="false" ht="15.75" hidden="false" customHeight="false" outlineLevel="0" collapsed="false">
      <c r="A16" s="0" t="str">
        <f aca="false">IFERROR(__xludf.dummyfunction("""COMPUTED_VALUE"""),"Осипова")</f>
        <v>Осипова</v>
      </c>
      <c r="B16" s="0" t="str">
        <f aca="false">IFERROR(__xludf.dummyfunction("""COMPUTED_VALUE"""),"Валентина")</f>
        <v>Валентина</v>
      </c>
      <c r="C16" s="0" t="n">
        <f aca="false">IFERROR(__xludf.dummyfunction("""COMPUTED_VALUE"""),8)</f>
        <v>8</v>
      </c>
      <c r="D16" s="0" t="n">
        <f aca="false">IFERROR(__xludf.dummyfunction("""COMPUTED_VALUE"""),117)</f>
        <v>117</v>
      </c>
      <c r="E16" s="12" t="str">
        <f aca="false">IFERROR(__xludf.dummyfunction("""COMPUTED_VALUE"""),"Введение в макроэкономику")</f>
        <v>Введение в макроэкономику</v>
      </c>
      <c r="F16" s="1" t="n">
        <f aca="false">FALSE()</f>
        <v>0</v>
      </c>
      <c r="G16" s="1" t="n">
        <f aca="false">FALSE()</f>
        <v>0</v>
      </c>
      <c r="H16" s="1" t="n">
        <f aca="false">FALSE()</f>
        <v>0</v>
      </c>
      <c r="I16" s="1" t="n">
        <f aca="false">FALSE()</f>
        <v>0</v>
      </c>
      <c r="J16" s="1" t="n">
        <f aca="false">FALSE()</f>
        <v>0</v>
      </c>
      <c r="K16" s="0" t="n">
        <f aca="false">IFERROR(__xludf.dummyfunction("""COMPUTED_VALUE"""),144)</f>
        <v>144</v>
      </c>
    </row>
    <row r="17" customFormat="false" ht="15.75" hidden="false" customHeight="false" outlineLevel="0" collapsed="false">
      <c r="A17" s="0" t="str">
        <f aca="false">IFERROR(__xludf.dummyfunction("""COMPUTED_VALUE"""),"Путинцев")</f>
        <v>Путинцев</v>
      </c>
      <c r="B17" s="0" t="str">
        <f aca="false">IFERROR(__xludf.dummyfunction("""COMPUTED_VALUE"""),"Матвей")</f>
        <v>Матвей</v>
      </c>
      <c r="C17" s="0" t="n">
        <f aca="false">IFERROR(__xludf.dummyfunction("""COMPUTED_VALUE"""),8)</f>
        <v>8</v>
      </c>
      <c r="D17" s="0" t="n">
        <f aca="false">IFERROR(__xludf.dummyfunction("""COMPUTED_VALUE"""),66)</f>
        <v>66</v>
      </c>
      <c r="E17" s="12" t="str">
        <f aca="false">IFERROR(__xludf.dummyfunction("""COMPUTED_VALUE"""),"Введение в макроэкономику")</f>
        <v>Введение в макроэкономику</v>
      </c>
      <c r="F17" s="1" t="n">
        <f aca="false">TRUE()</f>
        <v>1</v>
      </c>
      <c r="G17" s="1" t="n">
        <f aca="false">TRUE()</f>
        <v>1</v>
      </c>
      <c r="H17" s="1" t="n">
        <f aca="false">TRUE()</f>
        <v>1</v>
      </c>
      <c r="I17" s="1" t="n">
        <f aca="false">TRUE()</f>
        <v>1</v>
      </c>
      <c r="J17" s="1" t="n">
        <f aca="false">TRUE()</f>
        <v>1</v>
      </c>
      <c r="K17" s="0" t="n">
        <f aca="false">IFERROR(__xludf.dummyfunction("""COMPUTED_VALUE"""),175)</f>
        <v>175</v>
      </c>
    </row>
    <row r="18" customFormat="false" ht="15.75" hidden="false" customHeight="false" outlineLevel="0" collapsed="false">
      <c r="A18" s="0" t="str">
        <f aca="false">IFERROR(__xludf.dummyfunction("""COMPUTED_VALUE"""),"Рейсер")</f>
        <v>Рейсер</v>
      </c>
      <c r="B18" s="0" t="str">
        <f aca="false">IFERROR(__xludf.dummyfunction("""COMPUTED_VALUE"""),"Анастасия")</f>
        <v>Анастасия</v>
      </c>
      <c r="C18" s="0" t="n">
        <f aca="false">IFERROR(__xludf.dummyfunction("""COMPUTED_VALUE"""),7)</f>
        <v>7</v>
      </c>
      <c r="D18" s="0" t="n">
        <f aca="false">IFERROR(__xludf.dummyfunction("""COMPUTED_VALUE"""),117)</f>
        <v>117</v>
      </c>
      <c r="E18" s="12" t="str">
        <f aca="false">IFERROR(__xludf.dummyfunction("""COMPUTED_VALUE"""),"Введение в макроэкономику")</f>
        <v>Введение в макроэкономику</v>
      </c>
      <c r="F18" s="1" t="n">
        <f aca="false">FALSE()</f>
        <v>0</v>
      </c>
      <c r="G18" s="1" t="n">
        <f aca="false">FALSE()</f>
        <v>0</v>
      </c>
      <c r="H18" s="1" t="n">
        <f aca="false">FALSE()</f>
        <v>0</v>
      </c>
      <c r="I18" s="1" t="n">
        <f aca="false">FALSE()</f>
        <v>0</v>
      </c>
      <c r="J18" s="1" t="n">
        <f aca="false">FALSE()</f>
        <v>0</v>
      </c>
      <c r="K18" s="0" t="n">
        <f aca="false">IFERROR(__xludf.dummyfunction("""COMPUTED_VALUE"""),138)</f>
        <v>138</v>
      </c>
    </row>
    <row r="19" customFormat="false" ht="15.75" hidden="false" customHeight="false" outlineLevel="0" collapsed="false">
      <c r="A19" s="0" t="str">
        <f aca="false">IFERROR(__xludf.dummyfunction("""COMPUTED_VALUE"""),"Семёнова")</f>
        <v>Семёнова</v>
      </c>
      <c r="B19" s="0" t="str">
        <f aca="false">IFERROR(__xludf.dummyfunction("""COMPUTED_VALUE"""),"Анастасия")</f>
        <v>Анастасия</v>
      </c>
      <c r="C19" s="0" t="n">
        <f aca="false">IFERROR(__xludf.dummyfunction("""COMPUTED_VALUE"""),8)</f>
        <v>8</v>
      </c>
      <c r="D19" s="0" t="n">
        <f aca="false">IFERROR(__xludf.dummyfunction("""COMPUTED_VALUE"""),63)</f>
        <v>63</v>
      </c>
      <c r="E19" s="12" t="str">
        <f aca="false">IFERROR(__xludf.dummyfunction("""COMPUTED_VALUE"""),"Введение в макроэкономику")</f>
        <v>Введение в макроэкономику</v>
      </c>
      <c r="F19" s="1" t="n">
        <f aca="false">FALSE()</f>
        <v>0</v>
      </c>
      <c r="G19" s="1" t="n">
        <f aca="false">FALSE()</f>
        <v>0</v>
      </c>
      <c r="H19" s="1" t="n">
        <f aca="false">FALSE()</f>
        <v>0</v>
      </c>
      <c r="I19" s="1" t="n">
        <f aca="false">FALSE()</f>
        <v>0</v>
      </c>
      <c r="J19" s="1" t="n">
        <f aca="false">FALSE()</f>
        <v>0</v>
      </c>
      <c r="K19" s="0" t="n">
        <f aca="false">IFERROR(__xludf.dummyfunction("""COMPUTED_VALUE"""),163)</f>
        <v>163</v>
      </c>
      <c r="M19" s="12" t="str">
        <f aca="false">IF(COUNTIF('Переформатированный ответ'!AA2:AE200,TRUE()) &lt; COUNTIF(F2:J200,TRUE()),"Не загружено",IF(COUNTIF('Переформатированный ответ'!AA2:AE200,TRUE()) = COUNTIF(F2:J200,TRUE()),"Загружено","Пиздец"))</f>
        <v>Загружено</v>
      </c>
    </row>
    <row r="20" customFormat="false" ht="15.75" hidden="false" customHeight="false" outlineLevel="0" collapsed="false">
      <c r="A20" s="0" t="str">
        <f aca="false">IFERROR(__xludf.dummyfunction("""COMPUTED_VALUE"""),"Сим")</f>
        <v>Сим</v>
      </c>
      <c r="B20" s="0" t="str">
        <f aca="false">IFERROR(__xludf.dummyfunction("""COMPUTED_VALUE"""),"Алина")</f>
        <v>Алина</v>
      </c>
      <c r="C20" s="0" t="n">
        <f aca="false">IFERROR(__xludf.dummyfunction("""COMPUTED_VALUE"""),8)</f>
        <v>8</v>
      </c>
      <c r="D20" s="0" t="n">
        <f aca="false">IFERROR(__xludf.dummyfunction("""COMPUTED_VALUE"""),117)</f>
        <v>117</v>
      </c>
      <c r="E20" s="12" t="str">
        <f aca="false">IFERROR(__xludf.dummyfunction("""COMPUTED_VALUE"""),"Введение в макроэкономику")</f>
        <v>Введение в макроэкономику</v>
      </c>
      <c r="F20" s="1" t="n">
        <f aca="false">FALSE()</f>
        <v>0</v>
      </c>
      <c r="G20" s="1" t="n">
        <f aca="false">FALSE()</f>
        <v>0</v>
      </c>
      <c r="H20" s="1" t="n">
        <f aca="false">FALSE()</f>
        <v>0</v>
      </c>
      <c r="I20" s="1" t="n">
        <f aca="false">FALSE()</f>
        <v>0</v>
      </c>
      <c r="J20" s="1" t="n">
        <f aca="false">FALSE()</f>
        <v>0</v>
      </c>
      <c r="K20" s="0" t="n">
        <f aca="false">IFERROR(__xludf.dummyfunction("""COMPUTED_VALUE"""),122)</f>
        <v>122</v>
      </c>
    </row>
    <row r="21" customFormat="false" ht="15.75" hidden="false" customHeight="false" outlineLevel="0" collapsed="false">
      <c r="A21" s="0" t="str">
        <f aca="false">IFERROR(__xludf.dummyfunction("""COMPUTED_VALUE"""),"Ушакова")</f>
        <v>Ушакова</v>
      </c>
      <c r="B21" s="0" t="str">
        <f aca="false">IFERROR(__xludf.dummyfunction("""COMPUTED_VALUE"""),"Любовь")</f>
        <v>Любовь</v>
      </c>
      <c r="C21" s="0" t="n">
        <f aca="false">IFERROR(__xludf.dummyfunction("""COMPUTED_VALUE"""),8)</f>
        <v>8</v>
      </c>
      <c r="D21" s="0" t="n">
        <f aca="false">IFERROR(__xludf.dummyfunction("""COMPUTED_VALUE"""),177)</f>
        <v>177</v>
      </c>
      <c r="E21" s="12" t="str">
        <f aca="false">IFERROR(__xludf.dummyfunction("""COMPUTED_VALUE"""),"Введение в макроэкономику")</f>
        <v>Введение в макроэкономику</v>
      </c>
      <c r="F21" s="1" t="n">
        <f aca="false">FALSE()</f>
        <v>0</v>
      </c>
      <c r="G21" s="1" t="n">
        <f aca="false">FALSE()</f>
        <v>0</v>
      </c>
      <c r="H21" s="1" t="n">
        <f aca="false">FALSE()</f>
        <v>0</v>
      </c>
      <c r="I21" s="1" t="n">
        <f aca="false">FALSE()</f>
        <v>0</v>
      </c>
      <c r="J21" s="1" t="n">
        <f aca="false">FALSE()</f>
        <v>0</v>
      </c>
      <c r="K21" s="0" t="n">
        <f aca="false">IFERROR(__xludf.dummyfunction("""COMPUTED_VALUE"""),89)</f>
        <v>89</v>
      </c>
    </row>
    <row r="22" customFormat="false" ht="15.75" hidden="false" customHeight="false" outlineLevel="0" collapsed="false">
      <c r="A22" s="0" t="str">
        <f aca="false">IFERROR(__xludf.dummyfunction("""COMPUTED_VALUE"""),"Фёдорова")</f>
        <v>Фёдорова</v>
      </c>
      <c r="B22" s="0" t="str">
        <f aca="false">IFERROR(__xludf.dummyfunction("""COMPUTED_VALUE"""),"Ксения")</f>
        <v>Ксения</v>
      </c>
      <c r="C22" s="0" t="n">
        <f aca="false">IFERROR(__xludf.dummyfunction("""COMPUTED_VALUE"""),11)</f>
        <v>11</v>
      </c>
      <c r="D22" s="0" t="n">
        <f aca="false">IFERROR(__xludf.dummyfunction("""COMPUTED_VALUE"""),140)</f>
        <v>140</v>
      </c>
      <c r="E22" s="12" t="str">
        <f aca="false">IFERROR(__xludf.dummyfunction("""COMPUTED_VALUE"""),"Введение в макроэкономику")</f>
        <v>Введение в макроэкономику</v>
      </c>
      <c r="F22" s="1" t="n">
        <f aca="false">TRUE()</f>
        <v>1</v>
      </c>
      <c r="G22" s="1" t="n">
        <f aca="false">TRUE()</f>
        <v>1</v>
      </c>
      <c r="H22" s="1" t="n">
        <f aca="false">TRUE()</f>
        <v>1</v>
      </c>
      <c r="I22" s="1" t="n">
        <f aca="false">TRUE()</f>
        <v>1</v>
      </c>
      <c r="J22" s="1" t="n">
        <f aca="false">TRUE()</f>
        <v>1</v>
      </c>
      <c r="K22" s="0" t="n">
        <f aca="false">IFERROR(__xludf.dummyfunction("""COMPUTED_VALUE"""),71)</f>
        <v>71</v>
      </c>
    </row>
    <row r="23" customFormat="false" ht="15.75" hidden="false" customHeight="false" outlineLevel="0" collapsed="false">
      <c r="A23" s="0" t="str">
        <f aca="false">IFERROR(__xludf.dummyfunction("""COMPUTED_VALUE"""),"Фирстова")</f>
        <v>Фирстова</v>
      </c>
      <c r="B23" s="0" t="str">
        <f aca="false">IFERROR(__xludf.dummyfunction("""COMPUTED_VALUE"""),"Екатерина")</f>
        <v>Екатерина</v>
      </c>
      <c r="C23" s="0" t="n">
        <f aca="false">IFERROR(__xludf.dummyfunction("""COMPUTED_VALUE"""),10)</f>
        <v>10</v>
      </c>
      <c r="D23" s="0" t="n">
        <f aca="false">IFERROR(__xludf.dummyfunction("""COMPUTED_VALUE"""),64)</f>
        <v>64</v>
      </c>
      <c r="E23" s="12" t="str">
        <f aca="false">IFERROR(__xludf.dummyfunction("""COMPUTED_VALUE"""),"Введение в макроэкономику")</f>
        <v>Введение в макроэкономику</v>
      </c>
      <c r="F23" s="1" t="n">
        <f aca="false">TRUE()</f>
        <v>1</v>
      </c>
      <c r="G23" s="1" t="n">
        <f aca="false">TRUE()</f>
        <v>1</v>
      </c>
      <c r="H23" s="1" t="n">
        <f aca="false">TRUE()</f>
        <v>1</v>
      </c>
      <c r="I23" s="1" t="n">
        <f aca="false">TRUE()</f>
        <v>1</v>
      </c>
      <c r="J23" s="1" t="n">
        <f aca="false">TRUE()</f>
        <v>1</v>
      </c>
      <c r="K23" s="0" t="n">
        <f aca="false">IFERROR(__xludf.dummyfunction("""COMPUTED_VALUE"""),40)</f>
        <v>40</v>
      </c>
    </row>
    <row r="24" customFormat="false" ht="15.75" hidden="false" customHeight="false" outlineLevel="0" collapsed="false">
      <c r="A24" s="0" t="str">
        <f aca="false">IFERROR(__xludf.dummyfunction("""COMPUTED_VALUE"""),"Шмидт")</f>
        <v>Шмидт</v>
      </c>
      <c r="B24" s="0" t="str">
        <f aca="false">IFERROR(__xludf.dummyfunction("""COMPUTED_VALUE"""),"Екатерина")</f>
        <v>Екатерина</v>
      </c>
      <c r="C24" s="0" t="n">
        <f aca="false">IFERROR(__xludf.dummyfunction("""COMPUTED_VALUE"""),7)</f>
        <v>7</v>
      </c>
      <c r="D24" s="0" t="n">
        <f aca="false">IFERROR(__xludf.dummyfunction("""COMPUTED_VALUE"""),7)</f>
        <v>7</v>
      </c>
      <c r="E24" s="12" t="str">
        <f aca="false">IFERROR(__xludf.dummyfunction("""COMPUTED_VALUE"""),"Введение в макроэкономику")</f>
        <v>Введение в макроэкономику</v>
      </c>
      <c r="F24" s="1" t="n">
        <f aca="false">TRUE()</f>
        <v>1</v>
      </c>
      <c r="G24" s="1" t="n">
        <f aca="false">TRUE()</f>
        <v>1</v>
      </c>
      <c r="H24" s="1" t="n">
        <f aca="false">TRUE()</f>
        <v>1</v>
      </c>
      <c r="I24" s="1" t="n">
        <f aca="false">TRUE()</f>
        <v>1</v>
      </c>
      <c r="J24" s="1" t="n">
        <f aca="false">TRUE()</f>
        <v>1</v>
      </c>
      <c r="K24" s="0" t="n">
        <f aca="false">IFERROR(__xludf.dummyfunction("""COMPUTED_VALUE"""),26)</f>
        <v>26</v>
      </c>
    </row>
    <row r="25" customFormat="false" ht="15.75" hidden="false" customHeight="false" outlineLevel="0" collapsed="false">
      <c r="A25" s="0" t="str">
        <f aca="false">IFERROR(__xludf.dummyfunction("""COMPUTED_VALUE"""),"Щипачёв")</f>
        <v>Щипачёв</v>
      </c>
      <c r="B25" s="0" t="str">
        <f aca="false">IFERROR(__xludf.dummyfunction("""COMPUTED_VALUE"""),"Артём")</f>
        <v>Артём</v>
      </c>
      <c r="C25" s="0" t="n">
        <f aca="false">IFERROR(__xludf.dummyfunction("""COMPUTED_VALUE"""),7)</f>
        <v>7</v>
      </c>
      <c r="D25" s="0" t="n">
        <f aca="false">IFERROR(__xludf.dummyfunction("""COMPUTED_VALUE"""),117)</f>
        <v>117</v>
      </c>
      <c r="E25" s="12" t="str">
        <f aca="false">IFERROR(__xludf.dummyfunction("""COMPUTED_VALUE"""),"Введение в макроэкономику")</f>
        <v>Введение в макроэкономику</v>
      </c>
      <c r="F25" s="1" t="n">
        <f aca="false">TRUE()</f>
        <v>1</v>
      </c>
      <c r="G25" s="1" t="n">
        <f aca="false">TRUE()</f>
        <v>1</v>
      </c>
      <c r="H25" s="1" t="n">
        <f aca="false">TRUE()</f>
        <v>1</v>
      </c>
      <c r="I25" s="1" t="n">
        <f aca="false">TRUE()</f>
        <v>1</v>
      </c>
      <c r="J25" s="1" t="n">
        <f aca="false">TRUE()</f>
        <v>1</v>
      </c>
      <c r="K25" s="0" t="n">
        <f aca="false">IFERROR(__xludf.dummyfunction("""COMPUTED_VALUE"""),164)</f>
        <v>164</v>
      </c>
    </row>
    <row r="26" customFormat="false" ht="15.75" hidden="false" customHeight="false" outlineLevel="0" collapsed="false">
      <c r="A26" s="0" t="str">
        <f aca="false">IFERROR(__xludf.dummyfunction("""COMPUTED_VALUE"""),"Бурляев")</f>
        <v>Бурляев</v>
      </c>
      <c r="B26" s="0" t="str">
        <f aca="false">IFERROR(__xludf.dummyfunction("""COMPUTED_VALUE"""),"Илья")</f>
        <v>Илья</v>
      </c>
      <c r="C26" s="0" t="n">
        <f aca="false">IFERROR(__xludf.dummyfunction("""COMPUTED_VALUE"""),8)</f>
        <v>8</v>
      </c>
      <c r="D26" s="0" t="n">
        <f aca="false">IFERROR(__xludf.dummyfunction("""COMPUTED_VALUE"""),117)</f>
        <v>117</v>
      </c>
      <c r="E26" s="12" t="str">
        <f aca="false">IFERROR(__xludf.dummyfunction("""COMPUTED_VALUE"""),"Международное право")</f>
        <v>Международное право</v>
      </c>
      <c r="F26" s="1" t="n">
        <f aca="false">TRUE()</f>
        <v>1</v>
      </c>
      <c r="G26" s="1" t="n">
        <f aca="false">TRUE()</f>
        <v>1</v>
      </c>
      <c r="H26" s="1" t="n">
        <f aca="false">TRUE()</f>
        <v>1</v>
      </c>
      <c r="I26" s="1" t="n">
        <f aca="false">TRUE()</f>
        <v>1</v>
      </c>
      <c r="J26" s="1" t="n">
        <f aca="false">TRUE()</f>
        <v>1</v>
      </c>
      <c r="K26" s="0" t="n">
        <f aca="false">IFERROR(__xludf.dummyfunction("""COMPUTED_VALUE"""),80)</f>
        <v>80</v>
      </c>
    </row>
    <row r="27" customFormat="false" ht="15.75" hidden="false" customHeight="false" outlineLevel="0" collapsed="false">
      <c r="A27" s="0" t="str">
        <f aca="false">IFERROR(__xludf.dummyfunction("""COMPUTED_VALUE"""),"Давыдова")</f>
        <v>Давыдова</v>
      </c>
      <c r="B27" s="0" t="str">
        <f aca="false">IFERROR(__xludf.dummyfunction("""COMPUTED_VALUE"""),"Елизавета")</f>
        <v>Елизавета</v>
      </c>
      <c r="C27" s="0" t="n">
        <f aca="false">IFERROR(__xludf.dummyfunction("""COMPUTED_VALUE"""),8)</f>
        <v>8</v>
      </c>
      <c r="D27" s="0" t="n">
        <f aca="false">IFERROR(__xludf.dummyfunction("""COMPUTED_VALUE"""),117)</f>
        <v>117</v>
      </c>
      <c r="E27" s="12" t="str">
        <f aca="false">IFERROR(__xludf.dummyfunction("""COMPUTED_VALUE"""),"Международное право")</f>
        <v>Международное право</v>
      </c>
      <c r="F27" s="1" t="n">
        <f aca="false">TRUE()</f>
        <v>1</v>
      </c>
      <c r="G27" s="1" t="n">
        <f aca="false">FALSE()</f>
        <v>0</v>
      </c>
      <c r="H27" s="1" t="n">
        <f aca="false">TRUE()</f>
        <v>1</v>
      </c>
      <c r="I27" s="1" t="n">
        <f aca="false">FALSE()</f>
        <v>0</v>
      </c>
      <c r="J27" s="1" t="n">
        <f aca="false">FALSE()</f>
        <v>0</v>
      </c>
      <c r="K27" s="0" t="n">
        <f aca="false">IFERROR(__xludf.dummyfunction("""COMPUTED_VALUE"""),12)</f>
        <v>12</v>
      </c>
    </row>
    <row r="28" customFormat="false" ht="15.75" hidden="false" customHeight="false" outlineLevel="0" collapsed="false">
      <c r="A28" s="0" t="str">
        <f aca="false">IFERROR(__xludf.dummyfunction("""COMPUTED_VALUE"""),"Долгова")</f>
        <v>Долгова</v>
      </c>
      <c r="B28" s="0" t="str">
        <f aca="false">IFERROR(__xludf.dummyfunction("""COMPUTED_VALUE"""),"Анна")</f>
        <v>Анна</v>
      </c>
      <c r="C28" s="0" t="n">
        <f aca="false">IFERROR(__xludf.dummyfunction("""COMPUTED_VALUE"""),9)</f>
        <v>9</v>
      </c>
      <c r="D28" s="0" t="n">
        <f aca="false">IFERROR(__xludf.dummyfunction("""COMPUTED_VALUE"""),117)</f>
        <v>117</v>
      </c>
      <c r="E28" s="12" t="str">
        <f aca="false">IFERROR(__xludf.dummyfunction("""COMPUTED_VALUE"""),"Международное право")</f>
        <v>Международное право</v>
      </c>
      <c r="F28" s="1" t="n">
        <f aca="false">TRUE()</f>
        <v>1</v>
      </c>
      <c r="G28" s="1" t="n">
        <f aca="false">TRUE()</f>
        <v>1</v>
      </c>
      <c r="H28" s="1" t="n">
        <f aca="false">FALSE()</f>
        <v>0</v>
      </c>
      <c r="I28" s="1" t="n">
        <f aca="false">FALSE()</f>
        <v>0</v>
      </c>
      <c r="J28" s="1" t="n">
        <f aca="false">TRUE()</f>
        <v>1</v>
      </c>
      <c r="K28" s="0" t="n">
        <f aca="false">IFERROR(__xludf.dummyfunction("""COMPUTED_VALUE"""),81)</f>
        <v>81</v>
      </c>
    </row>
    <row r="29" customFormat="false" ht="15.75" hidden="false" customHeight="false" outlineLevel="0" collapsed="false">
      <c r="A29" s="0" t="str">
        <f aca="false">IFERROR(__xludf.dummyfunction("""COMPUTED_VALUE"""),"Захаров")</f>
        <v>Захаров</v>
      </c>
      <c r="B29" s="0" t="str">
        <f aca="false">IFERROR(__xludf.dummyfunction("""COMPUTED_VALUE"""),"Матвей")</f>
        <v>Матвей</v>
      </c>
      <c r="C29" s="0" t="n">
        <f aca="false">IFERROR(__xludf.dummyfunction("""COMPUTED_VALUE"""),9)</f>
        <v>9</v>
      </c>
      <c r="D29" s="0" t="n">
        <f aca="false">IFERROR(__xludf.dummyfunction("""COMPUTED_VALUE"""),117)</f>
        <v>117</v>
      </c>
      <c r="E29" s="12" t="str">
        <f aca="false">IFERROR(__xludf.dummyfunction("""COMPUTED_VALUE"""),"Международное право")</f>
        <v>Международное право</v>
      </c>
      <c r="F29" s="1" t="n">
        <f aca="false">FALSE()</f>
        <v>0</v>
      </c>
      <c r="G29" s="1" t="n">
        <f aca="false">TRUE()</f>
        <v>1</v>
      </c>
      <c r="H29" s="1" t="n">
        <f aca="false">TRUE()</f>
        <v>1</v>
      </c>
      <c r="I29" s="1" t="n">
        <f aca="false">FALSE()</f>
        <v>0</v>
      </c>
      <c r="J29" s="1" t="n">
        <f aca="false">FALSE()</f>
        <v>0</v>
      </c>
      <c r="K29" s="0" t="n">
        <f aca="false">IFERROR(__xludf.dummyfunction("""COMPUTED_VALUE"""),60)</f>
        <v>60</v>
      </c>
    </row>
    <row r="30" customFormat="false" ht="15.75" hidden="false" customHeight="false" outlineLevel="0" collapsed="false">
      <c r="A30" s="0" t="str">
        <f aca="false">IFERROR(__xludf.dummyfunction("""COMPUTED_VALUE"""),"Ильин")</f>
        <v>Ильин</v>
      </c>
      <c r="B30" s="0" t="str">
        <f aca="false">IFERROR(__xludf.dummyfunction("""COMPUTED_VALUE"""),"Никита")</f>
        <v>Никита</v>
      </c>
      <c r="C30" s="0" t="n">
        <f aca="false">IFERROR(__xludf.dummyfunction("""COMPUTED_VALUE"""),8)</f>
        <v>8</v>
      </c>
      <c r="D30" s="0" t="n">
        <f aca="false">IFERROR(__xludf.dummyfunction("""COMPUTED_VALUE"""),117)</f>
        <v>117</v>
      </c>
      <c r="E30" s="12" t="str">
        <f aca="false">IFERROR(__xludf.dummyfunction("""COMPUTED_VALUE"""),"Международное право")</f>
        <v>Международное право</v>
      </c>
      <c r="F30" s="1" t="n">
        <f aca="false">TRUE()</f>
        <v>1</v>
      </c>
      <c r="G30" s="1" t="n">
        <f aca="false">TRUE()</f>
        <v>1</v>
      </c>
      <c r="H30" s="1" t="n">
        <f aca="false">TRUE()</f>
        <v>1</v>
      </c>
      <c r="I30" s="1" t="n">
        <f aca="false">TRUE()</f>
        <v>1</v>
      </c>
      <c r="J30" s="1" t="n">
        <f aca="false">TRUE()</f>
        <v>1</v>
      </c>
      <c r="K30" s="0" t="n">
        <f aca="false">IFERROR(__xludf.dummyfunction("""COMPUTED_VALUE"""),37)</f>
        <v>37</v>
      </c>
    </row>
    <row r="31" customFormat="false" ht="15.75" hidden="false" customHeight="false" outlineLevel="0" collapsed="false">
      <c r="A31" s="0" t="str">
        <f aca="false">IFERROR(__xludf.dummyfunction("""COMPUTED_VALUE"""),"Квинт")</f>
        <v>Квинт</v>
      </c>
      <c r="B31" s="0" t="str">
        <f aca="false">IFERROR(__xludf.dummyfunction("""COMPUTED_VALUE"""),"Элиас")</f>
        <v>Элиас</v>
      </c>
      <c r="C31" s="0" t="n">
        <f aca="false">IFERROR(__xludf.dummyfunction("""COMPUTED_VALUE"""),9)</f>
        <v>9</v>
      </c>
      <c r="D31" s="0" t="n">
        <f aca="false">IFERROR(__xludf.dummyfunction("""COMPUTED_VALUE"""),92)</f>
        <v>92</v>
      </c>
      <c r="E31" s="12" t="str">
        <f aca="false">IFERROR(__xludf.dummyfunction("""COMPUTED_VALUE"""),"Международное право")</f>
        <v>Международное право</v>
      </c>
      <c r="F31" s="1" t="n">
        <f aca="false">FALSE()</f>
        <v>0</v>
      </c>
      <c r="G31" s="1" t="n">
        <f aca="false">FALSE()</f>
        <v>0</v>
      </c>
      <c r="H31" s="1" t="n">
        <f aca="false">FALSE()</f>
        <v>0</v>
      </c>
      <c r="I31" s="1" t="n">
        <f aca="false">FALSE()</f>
        <v>0</v>
      </c>
      <c r="J31" s="1" t="n">
        <f aca="false">FALSE()</f>
        <v>0</v>
      </c>
      <c r="K31" s="0" t="n">
        <f aca="false">IFERROR(__xludf.dummyfunction("""COMPUTED_VALUE"""),76)</f>
        <v>76</v>
      </c>
    </row>
    <row r="32" customFormat="false" ht="15.75" hidden="false" customHeight="false" outlineLevel="0" collapsed="false">
      <c r="A32" s="0" t="str">
        <f aca="false">IFERROR(__xludf.dummyfunction("""COMPUTED_VALUE"""),"Климова")</f>
        <v>Климова</v>
      </c>
      <c r="B32" s="0" t="str">
        <f aca="false">IFERROR(__xludf.dummyfunction("""COMPUTED_VALUE"""),"Яна")</f>
        <v>Яна</v>
      </c>
      <c r="C32" s="0" t="n">
        <f aca="false">IFERROR(__xludf.dummyfunction("""COMPUTED_VALUE"""),8)</f>
        <v>8</v>
      </c>
      <c r="D32" s="0" t="n">
        <f aca="false">IFERROR(__xludf.dummyfunction("""COMPUTED_VALUE"""),117)</f>
        <v>117</v>
      </c>
      <c r="E32" s="12" t="str">
        <f aca="false">IFERROR(__xludf.dummyfunction("""COMPUTED_VALUE"""),"Международное право")</f>
        <v>Международное право</v>
      </c>
      <c r="F32" s="1" t="n">
        <f aca="false">FALSE()</f>
        <v>0</v>
      </c>
      <c r="G32" s="1" t="n">
        <f aca="false">FALSE()</f>
        <v>0</v>
      </c>
      <c r="H32" s="1" t="n">
        <f aca="false">FALSE()</f>
        <v>0</v>
      </c>
      <c r="I32" s="1" t="n">
        <f aca="false">FALSE()</f>
        <v>0</v>
      </c>
      <c r="J32" s="1" t="n">
        <f aca="false">FALSE()</f>
        <v>0</v>
      </c>
      <c r="K32" s="0" t="n">
        <f aca="false">IFERROR(__xludf.dummyfunction("""COMPUTED_VALUE"""),32)</f>
        <v>32</v>
      </c>
    </row>
    <row r="33" customFormat="false" ht="15.75" hidden="false" customHeight="false" outlineLevel="0" collapsed="false">
      <c r="A33" s="0" t="str">
        <f aca="false">IFERROR(__xludf.dummyfunction("""COMPUTED_VALUE"""),"Клюева")</f>
        <v>Клюева</v>
      </c>
      <c r="B33" s="0" t="str">
        <f aca="false">IFERROR(__xludf.dummyfunction("""COMPUTED_VALUE"""),"Полина")</f>
        <v>Полина</v>
      </c>
      <c r="C33" s="0" t="n">
        <f aca="false">IFERROR(__xludf.dummyfunction("""COMPUTED_VALUE"""),8)</f>
        <v>8</v>
      </c>
      <c r="D33" s="0" t="n">
        <f aca="false">IFERROR(__xludf.dummyfunction("""COMPUTED_VALUE"""),117)</f>
        <v>117</v>
      </c>
      <c r="E33" s="12" t="str">
        <f aca="false">IFERROR(__xludf.dummyfunction("""COMPUTED_VALUE"""),"Международное право")</f>
        <v>Международное право</v>
      </c>
      <c r="F33" s="1" t="n">
        <f aca="false">TRUE()</f>
        <v>1</v>
      </c>
      <c r="G33" s="1" t="n">
        <f aca="false">TRUE()</f>
        <v>1</v>
      </c>
      <c r="H33" s="1" t="n">
        <f aca="false">TRUE()</f>
        <v>1</v>
      </c>
      <c r="I33" s="1" t="n">
        <f aca="false">FALSE()</f>
        <v>0</v>
      </c>
      <c r="J33" s="1" t="n">
        <f aca="false">FALSE()</f>
        <v>0</v>
      </c>
      <c r="K33" s="0" t="n">
        <f aca="false">IFERROR(__xludf.dummyfunction("""COMPUTED_VALUE"""),155)</f>
        <v>155</v>
      </c>
    </row>
    <row r="34" customFormat="false" ht="15.75" hidden="false" customHeight="false" outlineLevel="0" collapsed="false">
      <c r="A34" s="0" t="str">
        <f aca="false">IFERROR(__xludf.dummyfunction("""COMPUTED_VALUE"""),"Кокшарова")</f>
        <v>Кокшарова</v>
      </c>
      <c r="B34" s="0" t="str">
        <f aca="false">IFERROR(__xludf.dummyfunction("""COMPUTED_VALUE"""),"Мария")</f>
        <v>Мария</v>
      </c>
      <c r="C34" s="0" t="n">
        <f aca="false">IFERROR(__xludf.dummyfunction("""COMPUTED_VALUE"""),10)</f>
        <v>10</v>
      </c>
      <c r="D34" s="0" t="n">
        <f aca="false">IFERROR(__xludf.dummyfunction("""COMPUTED_VALUE"""),117)</f>
        <v>117</v>
      </c>
      <c r="E34" s="12" t="str">
        <f aca="false">IFERROR(__xludf.dummyfunction("""COMPUTED_VALUE"""),"Международное право")</f>
        <v>Международное право</v>
      </c>
      <c r="F34" s="1" t="n">
        <f aca="false">FALSE()</f>
        <v>0</v>
      </c>
      <c r="G34" s="1" t="n">
        <f aca="false">FALSE()</f>
        <v>0</v>
      </c>
      <c r="H34" s="1" t="n">
        <f aca="false">FALSE()</f>
        <v>0</v>
      </c>
      <c r="I34" s="1" t="n">
        <f aca="false">FALSE()</f>
        <v>0</v>
      </c>
      <c r="J34" s="1" t="n">
        <f aca="false">FALSE()</f>
        <v>0</v>
      </c>
      <c r="K34" s="0" t="n">
        <f aca="false">IFERROR(__xludf.dummyfunction("""COMPUTED_VALUE"""),103)</f>
        <v>103</v>
      </c>
    </row>
    <row r="35" customFormat="false" ht="15.75" hidden="false" customHeight="false" outlineLevel="0" collapsed="false">
      <c r="A35" s="0" t="str">
        <f aca="false">IFERROR(__xludf.dummyfunction("""COMPUTED_VALUE"""),"Кривцова")</f>
        <v>Кривцова</v>
      </c>
      <c r="B35" s="0" t="str">
        <f aca="false">IFERROR(__xludf.dummyfunction("""COMPUTED_VALUE"""),"Анна")</f>
        <v>Анна</v>
      </c>
      <c r="C35" s="0" t="n">
        <f aca="false">IFERROR(__xludf.dummyfunction("""COMPUTED_VALUE"""),10)</f>
        <v>10</v>
      </c>
      <c r="D35" s="0" t="n">
        <f aca="false">IFERROR(__xludf.dummyfunction("""COMPUTED_VALUE"""),64)</f>
        <v>64</v>
      </c>
      <c r="E35" s="12" t="str">
        <f aca="false">IFERROR(__xludf.dummyfunction("""COMPUTED_VALUE"""),"Международное право")</f>
        <v>Международное право</v>
      </c>
      <c r="F35" s="1" t="n">
        <f aca="false">TRUE()</f>
        <v>1</v>
      </c>
      <c r="G35" s="1" t="n">
        <f aca="false">TRUE()</f>
        <v>1</v>
      </c>
      <c r="H35" s="1" t="n">
        <f aca="false">TRUE()</f>
        <v>1</v>
      </c>
      <c r="I35" s="1" t="n">
        <f aca="false">TRUE()</f>
        <v>1</v>
      </c>
      <c r="J35" s="1" t="n">
        <f aca="false">FALSE()</f>
        <v>0</v>
      </c>
      <c r="K35" s="0" t="n">
        <f aca="false">IFERROR(__xludf.dummyfunction("""COMPUTED_VALUE"""),6)</f>
        <v>6</v>
      </c>
    </row>
    <row r="36" customFormat="false" ht="15.75" hidden="false" customHeight="false" outlineLevel="0" collapsed="false">
      <c r="A36" s="0" t="str">
        <f aca="false">IFERROR(__xludf.dummyfunction("""COMPUTED_VALUE"""),"Куличенко ")</f>
        <v>Куличенко</v>
      </c>
      <c r="B36" s="0" t="str">
        <f aca="false">IFERROR(__xludf.dummyfunction("""COMPUTED_VALUE"""),"Катя")</f>
        <v>Катя</v>
      </c>
      <c r="C36" s="0" t="n">
        <f aca="false">IFERROR(__xludf.dummyfunction("""COMPUTED_VALUE"""),8)</f>
        <v>8</v>
      </c>
      <c r="D36" s="0" t="n">
        <f aca="false">IFERROR(__xludf.dummyfunction("""COMPUTED_VALUE"""),117)</f>
        <v>117</v>
      </c>
      <c r="E36" s="12" t="str">
        <f aca="false">IFERROR(__xludf.dummyfunction("""COMPUTED_VALUE"""),"Международное право")</f>
        <v>Международное право</v>
      </c>
      <c r="F36" s="1" t="n">
        <f aca="false">FALSE()</f>
        <v>0</v>
      </c>
      <c r="G36" s="1" t="n">
        <f aca="false">FALSE()</f>
        <v>0</v>
      </c>
      <c r="H36" s="1" t="n">
        <f aca="false">FALSE()</f>
        <v>0</v>
      </c>
      <c r="I36" s="1" t="n">
        <f aca="false">FALSE()</f>
        <v>0</v>
      </c>
      <c r="J36" s="1" t="n">
        <f aca="false">FALSE()</f>
        <v>0</v>
      </c>
      <c r="K36" s="0" t="n">
        <f aca="false">IFERROR(__xludf.dummyfunction("""COMPUTED_VALUE"""),13)</f>
        <v>13</v>
      </c>
    </row>
    <row r="37" customFormat="false" ht="15.75" hidden="false" customHeight="false" outlineLevel="0" collapsed="false">
      <c r="A37" s="0" t="str">
        <f aca="false">IFERROR(__xludf.dummyfunction("""COMPUTED_VALUE"""),"Курочкин")</f>
        <v>Курочкин</v>
      </c>
      <c r="B37" s="0" t="str">
        <f aca="false">IFERROR(__xludf.dummyfunction("""COMPUTED_VALUE"""),"Тихон")</f>
        <v>Тихон</v>
      </c>
      <c r="C37" s="0" t="n">
        <f aca="false">IFERROR(__xludf.dummyfunction("""COMPUTED_VALUE"""),10)</f>
        <v>10</v>
      </c>
      <c r="D37" s="0" t="n">
        <f aca="false">IFERROR(__xludf.dummyfunction("""COMPUTED_VALUE"""),150)</f>
        <v>150</v>
      </c>
      <c r="E37" s="12" t="str">
        <f aca="false">IFERROR(__xludf.dummyfunction("""COMPUTED_VALUE"""),"Международное право")</f>
        <v>Международное право</v>
      </c>
      <c r="F37" s="1" t="n">
        <f aca="false">TRUE()</f>
        <v>1</v>
      </c>
      <c r="G37" s="1" t="n">
        <f aca="false">TRUE()</f>
        <v>1</v>
      </c>
      <c r="H37" s="1" t="n">
        <f aca="false">TRUE()</f>
        <v>1</v>
      </c>
      <c r="I37" s="1" t="n">
        <f aca="false">TRUE()</f>
        <v>1</v>
      </c>
      <c r="J37" s="1" t="n">
        <f aca="false">TRUE()</f>
        <v>1</v>
      </c>
      <c r="K37" s="0" t="n">
        <f aca="false">IFERROR(__xludf.dummyfunction("""COMPUTED_VALUE"""),7)</f>
        <v>7</v>
      </c>
    </row>
    <row r="38" customFormat="false" ht="15.75" hidden="false" customHeight="false" outlineLevel="0" collapsed="false">
      <c r="A38" s="0" t="str">
        <f aca="false">IFERROR(__xludf.dummyfunction("""COMPUTED_VALUE"""),"Лещенко")</f>
        <v>Лещенко</v>
      </c>
      <c r="B38" s="0" t="str">
        <f aca="false">IFERROR(__xludf.dummyfunction("""COMPUTED_VALUE"""),"Сергей")</f>
        <v>Сергей</v>
      </c>
      <c r="C38" s="0" t="n">
        <f aca="false">IFERROR(__xludf.dummyfunction("""COMPUTED_VALUE"""),9)</f>
        <v>9</v>
      </c>
      <c r="D38" s="0" t="n">
        <f aca="false">IFERROR(__xludf.dummyfunction("""COMPUTED_VALUE"""),117)</f>
        <v>117</v>
      </c>
      <c r="E38" s="12" t="str">
        <f aca="false">IFERROR(__xludf.dummyfunction("""COMPUTED_VALUE"""),"Международное право")</f>
        <v>Международное право</v>
      </c>
      <c r="F38" s="1" t="n">
        <f aca="false">TRUE()</f>
        <v>1</v>
      </c>
      <c r="G38" s="1" t="n">
        <f aca="false">TRUE()</f>
        <v>1</v>
      </c>
      <c r="H38" s="1" t="n">
        <f aca="false">TRUE()</f>
        <v>1</v>
      </c>
      <c r="I38" s="1" t="n">
        <f aca="false">TRUE()</f>
        <v>1</v>
      </c>
      <c r="J38" s="1" t="n">
        <f aca="false">TRUE()</f>
        <v>1</v>
      </c>
      <c r="K38" s="0" t="n">
        <f aca="false">IFERROR(__xludf.dummyfunction("""COMPUTED_VALUE"""),143)</f>
        <v>143</v>
      </c>
    </row>
    <row r="39" customFormat="false" ht="15.75" hidden="false" customHeight="false" outlineLevel="0" collapsed="false">
      <c r="A39" s="0" t="str">
        <f aca="false">IFERROR(__xludf.dummyfunction("""COMPUTED_VALUE"""),"Лисина")</f>
        <v>Лисина</v>
      </c>
      <c r="B39" s="0" t="str">
        <f aca="false">IFERROR(__xludf.dummyfunction("""COMPUTED_VALUE"""),"Мария")</f>
        <v>Мария</v>
      </c>
      <c r="C39" s="0" t="n">
        <f aca="false">IFERROR(__xludf.dummyfunction("""COMPUTED_VALUE"""),10)</f>
        <v>10</v>
      </c>
      <c r="D39" s="0" t="n">
        <f aca="false">IFERROR(__xludf.dummyfunction("""COMPUTED_VALUE"""),150)</f>
        <v>150</v>
      </c>
      <c r="E39" s="12" t="str">
        <f aca="false">IFERROR(__xludf.dummyfunction("""COMPUTED_VALUE"""),"Международное право")</f>
        <v>Международное право</v>
      </c>
      <c r="F39" s="1" t="n">
        <f aca="false">TRUE()</f>
        <v>1</v>
      </c>
      <c r="G39" s="1" t="n">
        <f aca="false">TRUE()</f>
        <v>1</v>
      </c>
      <c r="H39" s="1" t="n">
        <f aca="false">FALSE()</f>
        <v>0</v>
      </c>
      <c r="I39" s="1" t="n">
        <f aca="false">FALSE()</f>
        <v>0</v>
      </c>
      <c r="J39" s="1" t="n">
        <f aca="false">FALSE()</f>
        <v>0</v>
      </c>
      <c r="K39" s="0" t="n">
        <f aca="false">IFERROR(__xludf.dummyfunction("""COMPUTED_VALUE"""),121)</f>
        <v>121</v>
      </c>
    </row>
    <row r="40" customFormat="false" ht="15.75" hidden="false" customHeight="false" outlineLevel="0" collapsed="false">
      <c r="A40" s="0" t="str">
        <f aca="false">IFERROR(__xludf.dummyfunction("""COMPUTED_VALUE"""),"Моисеева")</f>
        <v>Моисеева</v>
      </c>
      <c r="B40" s="0" t="str">
        <f aca="false">IFERROR(__xludf.dummyfunction("""COMPUTED_VALUE"""),"Вероника")</f>
        <v>Вероника</v>
      </c>
      <c r="C40" s="0" t="n">
        <f aca="false">IFERROR(__xludf.dummyfunction("""COMPUTED_VALUE"""),9)</f>
        <v>9</v>
      </c>
      <c r="D40" s="0" t="n">
        <f aca="false">IFERROR(__xludf.dummyfunction("""COMPUTED_VALUE"""),117)</f>
        <v>117</v>
      </c>
      <c r="E40" s="12" t="str">
        <f aca="false">IFERROR(__xludf.dummyfunction("""COMPUTED_VALUE"""),"Международное право")</f>
        <v>Международное право</v>
      </c>
      <c r="F40" s="1" t="n">
        <f aca="false">TRUE()</f>
        <v>1</v>
      </c>
      <c r="G40" s="1" t="n">
        <f aca="false">TRUE()</f>
        <v>1</v>
      </c>
      <c r="H40" s="1" t="n">
        <f aca="false">TRUE()</f>
        <v>1</v>
      </c>
      <c r="I40" s="1" t="n">
        <f aca="false">TRUE()</f>
        <v>1</v>
      </c>
      <c r="J40" s="1" t="n">
        <f aca="false">TRUE()</f>
        <v>1</v>
      </c>
      <c r="K40" s="0" t="n">
        <f aca="false">IFERROR(__xludf.dummyfunction("""COMPUTED_VALUE"""),91)</f>
        <v>91</v>
      </c>
    </row>
    <row r="41" customFormat="false" ht="15.75" hidden="false" customHeight="false" outlineLevel="0" collapsed="false">
      <c r="A41" s="0" t="str">
        <f aca="false">IFERROR(__xludf.dummyfunction("""COMPUTED_VALUE"""),"Мужева")</f>
        <v>Мужева</v>
      </c>
      <c r="B41" s="0" t="str">
        <f aca="false">IFERROR(__xludf.dummyfunction("""COMPUTED_VALUE"""),"Ксения")</f>
        <v>Ксения</v>
      </c>
      <c r="C41" s="0" t="n">
        <f aca="false">IFERROR(__xludf.dummyfunction("""COMPUTED_VALUE"""),10)</f>
        <v>10</v>
      </c>
      <c r="D41" s="0" t="n">
        <f aca="false">IFERROR(__xludf.dummyfunction("""COMPUTED_VALUE"""),166)</f>
        <v>166</v>
      </c>
      <c r="E41" s="12" t="str">
        <f aca="false">IFERROR(__xludf.dummyfunction("""COMPUTED_VALUE"""),"Международное право")</f>
        <v>Международное право</v>
      </c>
      <c r="F41" s="1" t="n">
        <f aca="false">TRUE()</f>
        <v>1</v>
      </c>
      <c r="G41" s="1" t="n">
        <f aca="false">TRUE()</f>
        <v>1</v>
      </c>
      <c r="H41" s="1" t="n">
        <f aca="false">TRUE()</f>
        <v>1</v>
      </c>
      <c r="I41" s="1" t="n">
        <f aca="false">TRUE()</f>
        <v>1</v>
      </c>
      <c r="J41" s="1" t="n">
        <f aca="false">TRUE()</f>
        <v>1</v>
      </c>
      <c r="K41" s="0" t="n">
        <f aca="false">IFERROR(__xludf.dummyfunction("""COMPUTED_VALUE"""),66)</f>
        <v>66</v>
      </c>
    </row>
    <row r="42" customFormat="false" ht="15.75" hidden="false" customHeight="false" outlineLevel="0" collapsed="false">
      <c r="A42" s="0" t="str">
        <f aca="false">IFERROR(__xludf.dummyfunction("""COMPUTED_VALUE"""),"Мукушева")</f>
        <v>Мукушева</v>
      </c>
      <c r="B42" s="0" t="str">
        <f aca="false">IFERROR(__xludf.dummyfunction("""COMPUTED_VALUE"""),"Рамина")</f>
        <v>Рамина</v>
      </c>
      <c r="C42" s="0" t="n">
        <f aca="false">IFERROR(__xludf.dummyfunction("""COMPUTED_VALUE"""),8)</f>
        <v>8</v>
      </c>
      <c r="D42" s="0" t="n">
        <f aca="false">IFERROR(__xludf.dummyfunction("""COMPUTED_VALUE"""),146)</f>
        <v>146</v>
      </c>
      <c r="E42" s="12" t="str">
        <f aca="false">IFERROR(__xludf.dummyfunction("""COMPUTED_VALUE"""),"Международное право")</f>
        <v>Международное право</v>
      </c>
      <c r="F42" s="1" t="n">
        <f aca="false">TRUE()</f>
        <v>1</v>
      </c>
      <c r="G42" s="1" t="n">
        <f aca="false">TRUE()</f>
        <v>1</v>
      </c>
      <c r="H42" s="1" t="n">
        <f aca="false">TRUE()</f>
        <v>1</v>
      </c>
      <c r="I42" s="1" t="n">
        <f aca="false">FALSE()</f>
        <v>0</v>
      </c>
      <c r="J42" s="1" t="n">
        <f aca="false">FALSE()</f>
        <v>0</v>
      </c>
      <c r="K42" s="0" t="n">
        <f aca="false">IFERROR(__xludf.dummyfunction("""COMPUTED_VALUE"""),145)</f>
        <v>145</v>
      </c>
    </row>
    <row r="43" customFormat="false" ht="15.75" hidden="false" customHeight="false" outlineLevel="0" collapsed="false">
      <c r="A43" s="0" t="str">
        <f aca="false">IFERROR(__xludf.dummyfunction("""COMPUTED_VALUE"""),"Муравьева")</f>
        <v>Муравьева</v>
      </c>
      <c r="B43" s="0" t="str">
        <f aca="false">IFERROR(__xludf.dummyfunction("""COMPUTED_VALUE"""),"Мария")</f>
        <v>Мария</v>
      </c>
      <c r="C43" s="0" t="n">
        <f aca="false">IFERROR(__xludf.dummyfunction("""COMPUTED_VALUE"""),10)</f>
        <v>10</v>
      </c>
      <c r="D43" s="0" t="n">
        <f aca="false">IFERROR(__xludf.dummyfunction("""COMPUTED_VALUE"""),117)</f>
        <v>117</v>
      </c>
      <c r="E43" s="12" t="str">
        <f aca="false">IFERROR(__xludf.dummyfunction("""COMPUTED_VALUE"""),"Международное право")</f>
        <v>Международное право</v>
      </c>
      <c r="F43" s="1" t="n">
        <f aca="false">FALSE()</f>
        <v>0</v>
      </c>
      <c r="G43" s="1" t="n">
        <f aca="false">FALSE()</f>
        <v>0</v>
      </c>
      <c r="H43" s="1" t="n">
        <f aca="false">FALSE()</f>
        <v>0</v>
      </c>
      <c r="I43" s="1" t="n">
        <f aca="false">FALSE()</f>
        <v>0</v>
      </c>
      <c r="J43" s="1" t="n">
        <f aca="false">FALSE()</f>
        <v>0</v>
      </c>
      <c r="K43" s="0" t="n">
        <f aca="false">IFERROR(__xludf.dummyfunction("""COMPUTED_VALUE"""),88)</f>
        <v>88</v>
      </c>
    </row>
    <row r="44" customFormat="false" ht="15.75" hidden="false" customHeight="false" outlineLevel="0" collapsed="false">
      <c r="A44" s="0" t="str">
        <f aca="false">IFERROR(__xludf.dummyfunction("""COMPUTED_VALUE"""),"Сидоров")</f>
        <v>Сидоров</v>
      </c>
      <c r="B44" s="0" t="str">
        <f aca="false">IFERROR(__xludf.dummyfunction("""COMPUTED_VALUE"""),"Никита")</f>
        <v>Никита</v>
      </c>
      <c r="C44" s="0" t="n">
        <f aca="false">IFERROR(__xludf.dummyfunction("""COMPUTED_VALUE"""),8)</f>
        <v>8</v>
      </c>
      <c r="D44" s="0" t="n">
        <f aca="false">IFERROR(__xludf.dummyfunction("""COMPUTED_VALUE"""),117)</f>
        <v>117</v>
      </c>
      <c r="E44" s="12" t="str">
        <f aca="false">IFERROR(__xludf.dummyfunction("""COMPUTED_VALUE"""),"Международное право")</f>
        <v>Международное право</v>
      </c>
      <c r="F44" s="1" t="n">
        <f aca="false">TRUE()</f>
        <v>1</v>
      </c>
      <c r="G44" s="1" t="n">
        <f aca="false">TRUE()</f>
        <v>1</v>
      </c>
      <c r="H44" s="1" t="n">
        <f aca="false">TRUE()</f>
        <v>1</v>
      </c>
      <c r="I44" s="1" t="n">
        <f aca="false">TRUE()</f>
        <v>1</v>
      </c>
      <c r="J44" s="1" t="n">
        <f aca="false">TRUE()</f>
        <v>1</v>
      </c>
      <c r="K44" s="0" t="n">
        <f aca="false">IFERROR(__xludf.dummyfunction("""COMPUTED_VALUE"""),70)</f>
        <v>70</v>
      </c>
    </row>
    <row r="45" customFormat="false" ht="15.75" hidden="false" customHeight="false" outlineLevel="0" collapsed="false">
      <c r="A45" s="0" t="str">
        <f aca="false">IFERROR(__xludf.dummyfunction("""COMPUTED_VALUE"""),"Скрипкина")</f>
        <v>Скрипкина</v>
      </c>
      <c r="B45" s="0" t="str">
        <f aca="false">IFERROR(__xludf.dummyfunction("""COMPUTED_VALUE"""),"Вика")</f>
        <v>Вика</v>
      </c>
      <c r="C45" s="0" t="n">
        <f aca="false">IFERROR(__xludf.dummyfunction("""COMPUTED_VALUE"""),8)</f>
        <v>8</v>
      </c>
      <c r="D45" s="0" t="n">
        <f aca="false">IFERROR(__xludf.dummyfunction("""COMPUTED_VALUE"""),166)</f>
        <v>166</v>
      </c>
      <c r="E45" s="12" t="str">
        <f aca="false">IFERROR(__xludf.dummyfunction("""COMPUTED_VALUE"""),"Международное право")</f>
        <v>Международное право</v>
      </c>
      <c r="F45" s="1" t="n">
        <f aca="false">FALSE()</f>
        <v>0</v>
      </c>
      <c r="G45" s="1" t="n">
        <f aca="false">TRUE()</f>
        <v>1</v>
      </c>
      <c r="H45" s="1" t="n">
        <f aca="false">TRUE()</f>
        <v>1</v>
      </c>
      <c r="I45" s="1" t="n">
        <f aca="false">FALSE()</f>
        <v>0</v>
      </c>
      <c r="J45" s="1" t="n">
        <f aca="false">FALSE()</f>
        <v>0</v>
      </c>
      <c r="K45" s="0" t="n">
        <f aca="false">IFERROR(__xludf.dummyfunction("""COMPUTED_VALUE"""),20)</f>
        <v>20</v>
      </c>
    </row>
    <row r="46" customFormat="false" ht="15.75" hidden="false" customHeight="false" outlineLevel="0" collapsed="false">
      <c r="A46" s="0" t="str">
        <f aca="false">IFERROR(__xludf.dummyfunction("""COMPUTED_VALUE"""),"Сумленинова")</f>
        <v>Сумленинова</v>
      </c>
      <c r="B46" s="0" t="str">
        <f aca="false">IFERROR(__xludf.dummyfunction("""COMPUTED_VALUE"""),"Полина")</f>
        <v>Полина</v>
      </c>
      <c r="C46" s="0" t="n">
        <f aca="false">IFERROR(__xludf.dummyfunction("""COMPUTED_VALUE"""),8)</f>
        <v>8</v>
      </c>
      <c r="D46" s="0" t="n">
        <f aca="false">IFERROR(__xludf.dummyfunction("""COMPUTED_VALUE"""),117)</f>
        <v>117</v>
      </c>
      <c r="E46" s="12" t="str">
        <f aca="false">IFERROR(__xludf.dummyfunction("""COMPUTED_VALUE"""),"Международное право")</f>
        <v>Международное право</v>
      </c>
      <c r="F46" s="1" t="n">
        <f aca="false">TRUE()</f>
        <v>1</v>
      </c>
      <c r="G46" s="1" t="n">
        <f aca="false">FALSE()</f>
        <v>0</v>
      </c>
      <c r="H46" s="1" t="n">
        <f aca="false">FALSE()</f>
        <v>0</v>
      </c>
      <c r="I46" s="1" t="n">
        <f aca="false">FALSE()</f>
        <v>0</v>
      </c>
      <c r="J46" s="1" t="n">
        <f aca="false">FALSE()</f>
        <v>0</v>
      </c>
      <c r="K46" s="0" t="n">
        <f aca="false">IFERROR(__xludf.dummyfunction("""COMPUTED_VALUE"""),63)</f>
        <v>63</v>
      </c>
    </row>
    <row r="47" customFormat="false" ht="15.75" hidden="false" customHeight="false" outlineLevel="0" collapsed="false">
      <c r="A47" s="0" t="str">
        <f aca="false">IFERROR(__xludf.dummyfunction("""COMPUTED_VALUE"""),"Сушкова")</f>
        <v>Сушкова</v>
      </c>
      <c r="B47" s="0" t="str">
        <f aca="false">IFERROR(__xludf.dummyfunction("""COMPUTED_VALUE"""),"Ксения")</f>
        <v>Ксения</v>
      </c>
      <c r="C47" s="0" t="n">
        <f aca="false">IFERROR(__xludf.dummyfunction("""COMPUTED_VALUE"""),8)</f>
        <v>8</v>
      </c>
      <c r="D47" s="0" t="n">
        <f aca="false">IFERROR(__xludf.dummyfunction("""COMPUTED_VALUE"""),117)</f>
        <v>117</v>
      </c>
      <c r="E47" s="12" t="str">
        <f aca="false">IFERROR(__xludf.dummyfunction("""COMPUTED_VALUE"""),"Международное право")</f>
        <v>Международное право</v>
      </c>
      <c r="F47" s="1" t="n">
        <f aca="false">FALSE()</f>
        <v>0</v>
      </c>
      <c r="G47" s="1" t="n">
        <f aca="false">FALSE()</f>
        <v>0</v>
      </c>
      <c r="H47" s="1" t="n">
        <f aca="false">FALSE()</f>
        <v>0</v>
      </c>
      <c r="I47" s="1" t="n">
        <f aca="false">FALSE()</f>
        <v>0</v>
      </c>
      <c r="J47" s="1" t="n">
        <f aca="false">FALSE()</f>
        <v>0</v>
      </c>
      <c r="K47" s="0" t="n">
        <f aca="false">IFERROR(__xludf.dummyfunction("""COMPUTED_VALUE"""),34)</f>
        <v>34</v>
      </c>
    </row>
    <row r="48" customFormat="false" ht="15.75" hidden="false" customHeight="false" outlineLevel="0" collapsed="false">
      <c r="A48" s="0" t="str">
        <f aca="false">IFERROR(__xludf.dummyfunction("""COMPUTED_VALUE"""),"Устымчук")</f>
        <v>Устымчук</v>
      </c>
      <c r="B48" s="0" t="str">
        <f aca="false">IFERROR(__xludf.dummyfunction("""COMPUTED_VALUE"""),"Софья")</f>
        <v>Софья</v>
      </c>
      <c r="C48" s="0" t="n">
        <f aca="false">IFERROR(__xludf.dummyfunction("""COMPUTED_VALUE"""),9)</f>
        <v>9</v>
      </c>
      <c r="D48" s="0" t="n">
        <f aca="false">IFERROR(__xludf.dummyfunction("""COMPUTED_VALUE"""),74)</f>
        <v>74</v>
      </c>
      <c r="E48" s="12" t="str">
        <f aca="false">IFERROR(__xludf.dummyfunction("""COMPUTED_VALUE"""),"Международное право")</f>
        <v>Международное право</v>
      </c>
      <c r="F48" s="1" t="n">
        <f aca="false">FALSE()</f>
        <v>0</v>
      </c>
      <c r="G48" s="1" t="n">
        <f aca="false">FALSE()</f>
        <v>0</v>
      </c>
      <c r="H48" s="1" t="n">
        <f aca="false">FALSE()</f>
        <v>0</v>
      </c>
      <c r="I48" s="1" t="n">
        <f aca="false">FALSE()</f>
        <v>0</v>
      </c>
      <c r="J48" s="1" t="n">
        <f aca="false">FALSE()</f>
        <v>0</v>
      </c>
      <c r="K48" s="0" t="n">
        <f aca="false">IFERROR(__xludf.dummyfunction("""COMPUTED_VALUE"""),43)</f>
        <v>43</v>
      </c>
    </row>
    <row r="49" customFormat="false" ht="15.75" hidden="false" customHeight="false" outlineLevel="0" collapsed="false">
      <c r="A49" s="0" t="str">
        <f aca="false">IFERROR(__xludf.dummyfunction("""COMPUTED_VALUE"""),"Шадёркина")</f>
        <v>Шадёркина</v>
      </c>
      <c r="B49" s="0" t="str">
        <f aca="false">IFERROR(__xludf.dummyfunction("""COMPUTED_VALUE"""),"Даша")</f>
        <v>Даша</v>
      </c>
      <c r="C49" s="0" t="n">
        <f aca="false">IFERROR(__xludf.dummyfunction("""COMPUTED_VALUE"""),9)</f>
        <v>9</v>
      </c>
      <c r="D49" s="0" t="n">
        <f aca="false">IFERROR(__xludf.dummyfunction("""COMPUTED_VALUE"""),117)</f>
        <v>117</v>
      </c>
      <c r="E49" s="12" t="str">
        <f aca="false">IFERROR(__xludf.dummyfunction("""COMPUTED_VALUE"""),"Международное право")</f>
        <v>Международное право</v>
      </c>
      <c r="F49" s="1" t="n">
        <f aca="false">FALSE()</f>
        <v>0</v>
      </c>
      <c r="G49" s="1" t="n">
        <f aca="false">TRUE()</f>
        <v>1</v>
      </c>
      <c r="H49" s="1" t="n">
        <f aca="false">TRUE()</f>
        <v>1</v>
      </c>
      <c r="I49" s="1" t="n">
        <f aca="false">FALSE()</f>
        <v>0</v>
      </c>
      <c r="J49" s="1" t="n">
        <f aca="false">FALSE()</f>
        <v>0</v>
      </c>
      <c r="K49" s="0" t="n">
        <f aca="false">IFERROR(__xludf.dummyfunction("""COMPUTED_VALUE"""),18)</f>
        <v>18</v>
      </c>
    </row>
    <row r="50" customFormat="false" ht="15.75" hidden="false" customHeight="false" outlineLevel="0" collapsed="false">
      <c r="A50" s="0" t="str">
        <f aca="false">IFERROR(__xludf.dummyfunction("""COMPUTED_VALUE"""),"Шишко")</f>
        <v>Шишко</v>
      </c>
      <c r="B50" s="0" t="str">
        <f aca="false">IFERROR(__xludf.dummyfunction("""COMPUTED_VALUE"""),"Алёна ")</f>
        <v>Алёна</v>
      </c>
      <c r="C50" s="0" t="n">
        <f aca="false">IFERROR(__xludf.dummyfunction("""COMPUTED_VALUE"""),9)</f>
        <v>9</v>
      </c>
      <c r="D50" s="0" t="n">
        <f aca="false">IFERROR(__xludf.dummyfunction("""COMPUTED_VALUE"""),117)</f>
        <v>117</v>
      </c>
      <c r="E50" s="12" t="str">
        <f aca="false">IFERROR(__xludf.dummyfunction("""COMPUTED_VALUE"""),"Международное право")</f>
        <v>Международное право</v>
      </c>
      <c r="F50" s="1" t="n">
        <f aca="false">TRUE()</f>
        <v>1</v>
      </c>
      <c r="G50" s="1" t="n">
        <f aca="false">TRUE()</f>
        <v>1</v>
      </c>
      <c r="H50" s="1" t="n">
        <f aca="false">TRUE()</f>
        <v>1</v>
      </c>
      <c r="I50" s="1" t="n">
        <f aca="false">TRUE()</f>
        <v>1</v>
      </c>
      <c r="J50" s="1" t="n">
        <f aca="false">TRUE()</f>
        <v>1</v>
      </c>
      <c r="K50" s="0" t="n">
        <f aca="false">IFERROR(__xludf.dummyfunction("""COMPUTED_VALUE"""),93)</f>
        <v>93</v>
      </c>
    </row>
    <row r="51" customFormat="false" ht="15.75" hidden="false" customHeight="false" outlineLevel="0" collapsed="false">
      <c r="A51" s="0" t="str">
        <f aca="false">IFERROR(__xludf.dummyfunction("""COMPUTED_VALUE"""),"Шмалько")</f>
        <v>Шмалько</v>
      </c>
      <c r="B51" s="0" t="str">
        <f aca="false">IFERROR(__xludf.dummyfunction("""COMPUTED_VALUE"""),"Михаил")</f>
        <v>Михаил</v>
      </c>
      <c r="C51" s="0" t="n">
        <f aca="false">IFERROR(__xludf.dummyfunction("""COMPUTED_VALUE"""),9)</f>
        <v>9</v>
      </c>
      <c r="D51" s="0" t="n">
        <f aca="false">IFERROR(__xludf.dummyfunction("""COMPUTED_VALUE"""),117)</f>
        <v>117</v>
      </c>
      <c r="E51" s="12" t="str">
        <f aca="false">IFERROR(__xludf.dummyfunction("""COMPUTED_VALUE"""),"Международное право")</f>
        <v>Международное право</v>
      </c>
      <c r="F51" s="1" t="n">
        <f aca="false">TRUE()</f>
        <v>1</v>
      </c>
      <c r="G51" s="1" t="n">
        <f aca="false">TRUE()</f>
        <v>1</v>
      </c>
      <c r="H51" s="1" t="n">
        <f aca="false">FALSE()</f>
        <v>0</v>
      </c>
      <c r="I51" s="1" t="n">
        <f aca="false">FALSE()</f>
        <v>0</v>
      </c>
      <c r="J51" s="1" t="n">
        <f aca="false">FALSE()</f>
        <v>0</v>
      </c>
      <c r="K51" s="0" t="n">
        <f aca="false">IFERROR(__xludf.dummyfunction("""COMPUTED_VALUE"""),31)</f>
        <v>31</v>
      </c>
    </row>
    <row r="52" customFormat="false" ht="15.75" hidden="false" customHeight="false" outlineLevel="0" collapsed="false">
      <c r="A52" s="0" t="str">
        <f aca="false">IFERROR(__xludf.dummyfunction("""COMPUTED_VALUE"""),"Яковлева")</f>
        <v>Яковлева</v>
      </c>
      <c r="B52" s="0" t="str">
        <f aca="false">IFERROR(__xludf.dummyfunction("""COMPUTED_VALUE"""),"Евгения")</f>
        <v>Евгения</v>
      </c>
      <c r="C52" s="0" t="n">
        <f aca="false">IFERROR(__xludf.dummyfunction("""COMPUTED_VALUE"""),10)</f>
        <v>10</v>
      </c>
      <c r="D52" s="0" t="n">
        <f aca="false">IFERROR(__xludf.dummyfunction("""COMPUTED_VALUE"""),166)</f>
        <v>166</v>
      </c>
      <c r="E52" s="12" t="str">
        <f aca="false">IFERROR(__xludf.dummyfunction("""COMPUTED_VALUE"""),"Международное право")</f>
        <v>Международное право</v>
      </c>
      <c r="F52" s="1" t="n">
        <f aca="false">TRUE()</f>
        <v>1</v>
      </c>
      <c r="G52" s="1" t="n">
        <f aca="false">TRUE()</f>
        <v>1</v>
      </c>
      <c r="H52" s="1" t="n">
        <f aca="false">TRUE()</f>
        <v>1</v>
      </c>
      <c r="I52" s="1" t="n">
        <f aca="false">TRUE()</f>
        <v>1</v>
      </c>
      <c r="J52" s="1" t="n">
        <f aca="false">TRUE()</f>
        <v>1</v>
      </c>
      <c r="K52" s="0" t="n">
        <f aca="false">IFERROR(__xludf.dummyfunction("""COMPUTED_VALUE"""),64)</f>
        <v>64</v>
      </c>
    </row>
    <row r="53" customFormat="false" ht="15.75" hidden="false" customHeight="false" outlineLevel="0" collapsed="false">
      <c r="A53" s="0" t="str">
        <f aca="false">IFERROR(__xludf.dummyfunction("""COMPUTED_VALUE"""),"Артамонов")</f>
        <v>Артамонов</v>
      </c>
      <c r="B53" s="0" t="str">
        <f aca="false">IFERROR(__xludf.dummyfunction("""COMPUTED_VALUE"""),"Виктор")</f>
        <v>Виктор</v>
      </c>
      <c r="C53" s="0" t="n">
        <f aca="false">IFERROR(__xludf.dummyfunction("""COMPUTED_VALUE"""),11)</f>
        <v>11</v>
      </c>
      <c r="D53" s="0" t="n">
        <f aca="false">IFERROR(__xludf.dummyfunction("""COMPUTED_VALUE"""),140)</f>
        <v>140</v>
      </c>
      <c r="E53" s="12" t="str">
        <f aca="false">IFERROR(__xludf.dummyfunction("""COMPUTED_VALUE"""),"Мобильный геймдев (вторая часть)")</f>
        <v>Мобильный геймдев (вторая часть)</v>
      </c>
      <c r="F53" s="1" t="n">
        <f aca="false">FALSE()</f>
        <v>0</v>
      </c>
      <c r="G53" s="1" t="n">
        <f aca="false">FALSE()</f>
        <v>0</v>
      </c>
      <c r="H53" s="1" t="n">
        <f aca="false">FALSE()</f>
        <v>0</v>
      </c>
      <c r="I53" s="1" t="n">
        <f aca="false">FALSE()</f>
        <v>0</v>
      </c>
      <c r="J53" s="1" t="n">
        <f aca="false">FALSE()</f>
        <v>0</v>
      </c>
      <c r="K53" s="0" t="n">
        <f aca="false">IFERROR(__xludf.dummyfunction("""COMPUTED_VALUE"""),173)</f>
        <v>173</v>
      </c>
    </row>
    <row r="54" customFormat="false" ht="15.75" hidden="false" customHeight="false" outlineLevel="0" collapsed="false">
      <c r="A54" s="0" t="str">
        <f aca="false">IFERROR(__xludf.dummyfunction("""COMPUTED_VALUE"""),"Кожевников ")</f>
        <v>Кожевников</v>
      </c>
      <c r="B54" s="0" t="str">
        <f aca="false">IFERROR(__xludf.dummyfunction("""COMPUTED_VALUE"""),"Егор")</f>
        <v>Егор</v>
      </c>
      <c r="C54" s="0" t="n">
        <f aca="false">IFERROR(__xludf.dummyfunction("""COMPUTED_VALUE"""),8)</f>
        <v>8</v>
      </c>
      <c r="D54" s="0" t="n">
        <f aca="false">IFERROR(__xludf.dummyfunction("""COMPUTED_VALUE"""),66)</f>
        <v>66</v>
      </c>
      <c r="E54" s="12" t="str">
        <f aca="false">IFERROR(__xludf.dummyfunction("""COMPUTED_VALUE"""),"Мобильный геймдев (вторая часть)")</f>
        <v>Мобильный геймдев (вторая часть)</v>
      </c>
      <c r="F54" s="1" t="n">
        <f aca="false">TRUE()</f>
        <v>1</v>
      </c>
      <c r="G54" s="1" t="n">
        <f aca="false">FALSE()</f>
        <v>0</v>
      </c>
      <c r="H54" s="1" t="n">
        <f aca="false">FALSE()</f>
        <v>0</v>
      </c>
      <c r="I54" s="1" t="n">
        <f aca="false">FALSE()</f>
        <v>0</v>
      </c>
      <c r="J54" s="1" t="n">
        <f aca="false">FALSE()</f>
        <v>0</v>
      </c>
      <c r="K54" s="0" t="n">
        <f aca="false">IFERROR(__xludf.dummyfunction("""COMPUTED_VALUE"""),170)</f>
        <v>170</v>
      </c>
    </row>
    <row r="55" customFormat="false" ht="15.75" hidden="false" customHeight="false" outlineLevel="0" collapsed="false">
      <c r="A55" s="0" t="str">
        <f aca="false">IFERROR(__xludf.dummyfunction("""COMPUTED_VALUE"""),"Леонов")</f>
        <v>Леонов</v>
      </c>
      <c r="B55" s="0" t="str">
        <f aca="false">IFERROR(__xludf.dummyfunction("""COMPUTED_VALUE"""),"Иван")</f>
        <v>Иван</v>
      </c>
      <c r="C55" s="0" t="n">
        <f aca="false">IFERROR(__xludf.dummyfunction("""COMPUTED_VALUE"""),9)</f>
        <v>9</v>
      </c>
      <c r="D55" s="0" t="n">
        <f aca="false">IFERROR(__xludf.dummyfunction("""COMPUTED_VALUE"""),74)</f>
        <v>74</v>
      </c>
      <c r="E55" s="12" t="str">
        <f aca="false">IFERROR(__xludf.dummyfunction("""COMPUTED_VALUE"""),"Мобильный геймдев (вторая часть)")</f>
        <v>Мобильный геймдев (вторая часть)</v>
      </c>
      <c r="F55" s="1" t="n">
        <f aca="false">TRUE()</f>
        <v>1</v>
      </c>
      <c r="G55" s="1" t="n">
        <f aca="false">TRUE()</f>
        <v>1</v>
      </c>
      <c r="H55" s="1" t="n">
        <f aca="false">TRUE()</f>
        <v>1</v>
      </c>
      <c r="I55" s="1" t="n">
        <f aca="false">TRUE()</f>
        <v>1</v>
      </c>
      <c r="J55" s="1" t="n">
        <f aca="false">FALSE()</f>
        <v>0</v>
      </c>
      <c r="K55" s="0" t="n">
        <f aca="false">IFERROR(__xludf.dummyfunction("""COMPUTED_VALUE"""),161)</f>
        <v>161</v>
      </c>
    </row>
    <row r="56" customFormat="false" ht="15.75" hidden="false" customHeight="false" outlineLevel="0" collapsed="false">
      <c r="A56" s="0" t="str">
        <f aca="false">IFERROR(__xludf.dummyfunction("""COMPUTED_VALUE"""),"Шестаков")</f>
        <v>Шестаков</v>
      </c>
      <c r="B56" s="0" t="str">
        <f aca="false">IFERROR(__xludf.dummyfunction("""COMPUTED_VALUE"""),"Денис")</f>
        <v>Денис</v>
      </c>
      <c r="C56" s="0" t="n">
        <f aca="false">IFERROR(__xludf.dummyfunction("""COMPUTED_VALUE"""),10)</f>
        <v>10</v>
      </c>
      <c r="D56" s="0" t="n">
        <f aca="false">IFERROR(__xludf.dummyfunction("""COMPUTED_VALUE"""),64)</f>
        <v>64</v>
      </c>
      <c r="E56" s="12" t="str">
        <f aca="false">IFERROR(__xludf.dummyfunction("""COMPUTED_VALUE"""),"Мобильный геймдев (вторая часть)")</f>
        <v>Мобильный геймдев (вторая часть)</v>
      </c>
      <c r="F56" s="1" t="n">
        <f aca="false">TRUE()</f>
        <v>1</v>
      </c>
      <c r="G56" s="1" t="n">
        <f aca="false">TRUE()</f>
        <v>1</v>
      </c>
      <c r="H56" s="1" t="n">
        <f aca="false">TRUE()</f>
        <v>1</v>
      </c>
      <c r="I56" s="1" t="n">
        <f aca="false">TRUE()</f>
        <v>1</v>
      </c>
      <c r="J56" s="1" t="n">
        <f aca="false">FALSE()</f>
        <v>0</v>
      </c>
      <c r="K56" s="0" t="n">
        <f aca="false">IFERROR(__xludf.dummyfunction("""COMPUTED_VALUE"""),165)</f>
        <v>165</v>
      </c>
    </row>
    <row r="57" customFormat="false" ht="15.75" hidden="false" customHeight="false" outlineLevel="0" collapsed="false">
      <c r="A57" s="0" t="str">
        <f aca="false">IFERROR(__xludf.dummyfunction("""COMPUTED_VALUE"""),"Борисец ")</f>
        <v>Борисец</v>
      </c>
      <c r="B57" s="0" t="str">
        <f aca="false">IFERROR(__xludf.dummyfunction("""COMPUTED_VALUE"""),"Анастасия ")</f>
        <v>Анастасия</v>
      </c>
      <c r="C57" s="0" t="n">
        <f aca="false">IFERROR(__xludf.dummyfunction("""COMPUTED_VALUE"""),9)</f>
        <v>9</v>
      </c>
      <c r="D57" s="0" t="n">
        <f aca="false">IFERROR(__xludf.dummyfunction("""COMPUTED_VALUE"""),117)</f>
        <v>117</v>
      </c>
      <c r="E57" s="12" t="str">
        <f aca="false">IFERROR(__xludf.dummyfunction("""COMPUTED_VALUE"""),"Мозговой штурм")</f>
        <v>Мозговой штурм</v>
      </c>
      <c r="F57" s="1" t="n">
        <f aca="false">FALSE()</f>
        <v>0</v>
      </c>
      <c r="G57" s="1" t="n">
        <f aca="false">FALSE()</f>
        <v>0</v>
      </c>
      <c r="H57" s="1" t="n">
        <f aca="false">FALSE()</f>
        <v>0</v>
      </c>
      <c r="I57" s="1" t="n">
        <f aca="false">FALSE()</f>
        <v>0</v>
      </c>
      <c r="J57" s="1" t="n">
        <f aca="false">FALSE()</f>
        <v>0</v>
      </c>
      <c r="K57" s="0" t="n">
        <f aca="false">IFERROR(__xludf.dummyfunction("""COMPUTED_VALUE"""),3)</f>
        <v>3</v>
      </c>
    </row>
    <row r="58" customFormat="false" ht="15.75" hidden="false" customHeight="false" outlineLevel="0" collapsed="false">
      <c r="A58" s="0" t="str">
        <f aca="false">IFERROR(__xludf.dummyfunction("""COMPUTED_VALUE"""),"Гебель")</f>
        <v>Гебель</v>
      </c>
      <c r="B58" s="0" t="str">
        <f aca="false">IFERROR(__xludf.dummyfunction("""COMPUTED_VALUE"""),"Полина")</f>
        <v>Полина</v>
      </c>
      <c r="C58" s="0" t="n">
        <f aca="false">IFERROR(__xludf.dummyfunction("""COMPUTED_VALUE"""),8)</f>
        <v>8</v>
      </c>
      <c r="D58" s="0" t="n">
        <f aca="false">IFERROR(__xludf.dummyfunction("""COMPUTED_VALUE"""),117)</f>
        <v>117</v>
      </c>
      <c r="E58" s="12" t="str">
        <f aca="false">IFERROR(__xludf.dummyfunction("""COMPUTED_VALUE"""),"Мозговой штурм")</f>
        <v>Мозговой штурм</v>
      </c>
      <c r="F58" s="1" t="n">
        <f aca="false">TRUE()</f>
        <v>1</v>
      </c>
      <c r="G58" s="1" t="n">
        <f aca="false">TRUE()</f>
        <v>1</v>
      </c>
      <c r="H58" s="1" t="n">
        <f aca="false">TRUE()</f>
        <v>1</v>
      </c>
      <c r="I58" s="1" t="n">
        <f aca="false">TRUE()</f>
        <v>1</v>
      </c>
      <c r="J58" s="1" t="n">
        <f aca="false">FALSE()</f>
        <v>0</v>
      </c>
      <c r="K58" s="0" t="n">
        <f aca="false">IFERROR(__xludf.dummyfunction("""COMPUTED_VALUE"""),72)</f>
        <v>72</v>
      </c>
    </row>
    <row r="59" customFormat="false" ht="15.75" hidden="false" customHeight="false" outlineLevel="0" collapsed="false">
      <c r="A59" s="0" t="str">
        <f aca="false">IFERROR(__xludf.dummyfunction("""COMPUTED_VALUE"""),"Горчакова")</f>
        <v>Горчакова</v>
      </c>
      <c r="B59" s="0" t="str">
        <f aca="false">IFERROR(__xludf.dummyfunction("""COMPUTED_VALUE"""),"Ярослава")</f>
        <v>Ярослава</v>
      </c>
      <c r="C59" s="0" t="n">
        <f aca="false">IFERROR(__xludf.dummyfunction("""COMPUTED_VALUE"""),8)</f>
        <v>8</v>
      </c>
      <c r="D59" s="0" t="n">
        <f aca="false">IFERROR(__xludf.dummyfunction("""COMPUTED_VALUE"""),117)</f>
        <v>117</v>
      </c>
      <c r="E59" s="12" t="str">
        <f aca="false">IFERROR(__xludf.dummyfunction("""COMPUTED_VALUE"""),"Мозговой штурм")</f>
        <v>Мозговой штурм</v>
      </c>
      <c r="F59" s="1" t="n">
        <f aca="false">FALSE()</f>
        <v>0</v>
      </c>
      <c r="G59" s="1" t="n">
        <f aca="false">FALSE()</f>
        <v>0</v>
      </c>
      <c r="H59" s="1" t="n">
        <f aca="false">FALSE()</f>
        <v>0</v>
      </c>
      <c r="I59" s="1" t="n">
        <f aca="false">FALSE()</f>
        <v>0</v>
      </c>
      <c r="J59" s="1" t="n">
        <f aca="false">FALSE()</f>
        <v>0</v>
      </c>
      <c r="K59" s="0" t="n">
        <f aca="false">IFERROR(__xludf.dummyfunction("""COMPUTED_VALUE"""),45)</f>
        <v>45</v>
      </c>
    </row>
    <row r="60" customFormat="false" ht="15.75" hidden="false" customHeight="false" outlineLevel="0" collapsed="false">
      <c r="A60" s="0" t="str">
        <f aca="false">IFERROR(__xludf.dummyfunction("""COMPUTED_VALUE"""),"Гуртовенко")</f>
        <v>Гуртовенко</v>
      </c>
      <c r="B60" s="0" t="str">
        <f aca="false">IFERROR(__xludf.dummyfunction("""COMPUTED_VALUE"""),"Юлия")</f>
        <v>Юлия</v>
      </c>
      <c r="C60" s="0" t="n">
        <f aca="false">IFERROR(__xludf.dummyfunction("""COMPUTED_VALUE"""),9)</f>
        <v>9</v>
      </c>
      <c r="D60" s="0" t="n">
        <f aca="false">IFERROR(__xludf.dummyfunction("""COMPUTED_VALUE"""),117)</f>
        <v>117</v>
      </c>
      <c r="E60" s="12" t="str">
        <f aca="false">IFERROR(__xludf.dummyfunction("""COMPUTED_VALUE"""),"Мозговой штурм")</f>
        <v>Мозговой штурм</v>
      </c>
      <c r="F60" s="1" t="n">
        <f aca="false">TRUE()</f>
        <v>1</v>
      </c>
      <c r="G60" s="1" t="n">
        <f aca="false">TRUE()</f>
        <v>1</v>
      </c>
      <c r="H60" s="1" t="n">
        <f aca="false">TRUE()</f>
        <v>1</v>
      </c>
      <c r="I60" s="1" t="n">
        <f aca="false">TRUE()</f>
        <v>1</v>
      </c>
      <c r="J60" s="1" t="n">
        <f aca="false">TRUE()</f>
        <v>1</v>
      </c>
      <c r="K60" s="0" t="n">
        <f aca="false">IFERROR(__xludf.dummyfunction("""COMPUTED_VALUE"""),29)</f>
        <v>29</v>
      </c>
    </row>
    <row r="61" customFormat="false" ht="15.75" hidden="false" customHeight="false" outlineLevel="0" collapsed="false">
      <c r="A61" s="0" t="str">
        <f aca="false">IFERROR(__xludf.dummyfunction("""COMPUTED_VALUE"""),"Дизер")</f>
        <v>Дизер</v>
      </c>
      <c r="B61" s="0" t="str">
        <f aca="false">IFERROR(__xludf.dummyfunction("""COMPUTED_VALUE"""),"Валерия")</f>
        <v>Валерия</v>
      </c>
      <c r="C61" s="0" t="n">
        <f aca="false">IFERROR(__xludf.dummyfunction("""COMPUTED_VALUE"""),8)</f>
        <v>8</v>
      </c>
      <c r="D61" s="0" t="n">
        <f aca="false">IFERROR(__xludf.dummyfunction("""COMPUTED_VALUE"""),117)</f>
        <v>117</v>
      </c>
      <c r="E61" s="12" t="str">
        <f aca="false">IFERROR(__xludf.dummyfunction("""COMPUTED_VALUE"""),"Мозговой штурм")</f>
        <v>Мозговой штурм</v>
      </c>
      <c r="F61" s="1" t="n">
        <f aca="false">TRUE()</f>
        <v>1</v>
      </c>
      <c r="G61" s="1" t="n">
        <f aca="false">TRUE()</f>
        <v>1</v>
      </c>
      <c r="H61" s="1" t="n">
        <f aca="false">TRUE()</f>
        <v>1</v>
      </c>
      <c r="I61" s="1" t="n">
        <f aca="false">TRUE()</f>
        <v>1</v>
      </c>
      <c r="J61" s="1" t="n">
        <f aca="false">TRUE()</f>
        <v>1</v>
      </c>
      <c r="K61" s="0" t="n">
        <f aca="false">IFERROR(__xludf.dummyfunction("""COMPUTED_VALUE"""),38)</f>
        <v>38</v>
      </c>
    </row>
    <row r="62" customFormat="false" ht="15.75" hidden="false" customHeight="false" outlineLevel="0" collapsed="false">
      <c r="A62" s="0" t="str">
        <f aca="false">IFERROR(__xludf.dummyfunction("""COMPUTED_VALUE"""),"Каныгина")</f>
        <v>Каныгина</v>
      </c>
      <c r="B62" s="0" t="str">
        <f aca="false">IFERROR(__xludf.dummyfunction("""COMPUTED_VALUE"""),"Милана")</f>
        <v>Милана</v>
      </c>
      <c r="C62" s="0" t="n">
        <f aca="false">IFERROR(__xludf.dummyfunction("""COMPUTED_VALUE"""),11)</f>
        <v>11</v>
      </c>
      <c r="D62" s="0" t="n">
        <f aca="false">IFERROR(__xludf.dummyfunction("""COMPUTED_VALUE"""),62)</f>
        <v>62</v>
      </c>
      <c r="E62" s="12" t="str">
        <f aca="false">IFERROR(__xludf.dummyfunction("""COMPUTED_VALUE"""),"Мозговой штурм")</f>
        <v>Мозговой штурм</v>
      </c>
      <c r="F62" s="1" t="n">
        <f aca="false">TRUE()</f>
        <v>1</v>
      </c>
      <c r="G62" s="1" t="n">
        <f aca="false">FALSE()</f>
        <v>0</v>
      </c>
      <c r="H62" s="1" t="n">
        <f aca="false">FALSE()</f>
        <v>0</v>
      </c>
      <c r="I62" s="1" t="n">
        <f aca="false">FALSE()</f>
        <v>0</v>
      </c>
      <c r="J62" s="1" t="n">
        <f aca="false">FALSE()</f>
        <v>0</v>
      </c>
      <c r="K62" s="0" t="n">
        <f aca="false">IFERROR(__xludf.dummyfunction("""COMPUTED_VALUE"""),10)</f>
        <v>10</v>
      </c>
    </row>
    <row r="63" customFormat="false" ht="15.75" hidden="false" customHeight="false" outlineLevel="0" collapsed="false">
      <c r="A63" s="0" t="str">
        <f aca="false">IFERROR(__xludf.dummyfunction("""COMPUTED_VALUE"""),"Кузин")</f>
        <v>Кузин</v>
      </c>
      <c r="B63" s="0" t="str">
        <f aca="false">IFERROR(__xludf.dummyfunction("""COMPUTED_VALUE"""),"Илья")</f>
        <v>Илья</v>
      </c>
      <c r="C63" s="0" t="n">
        <f aca="false">IFERROR(__xludf.dummyfunction("""COMPUTED_VALUE"""),11)</f>
        <v>11</v>
      </c>
      <c r="D63" s="0" t="n">
        <f aca="false">IFERROR(__xludf.dummyfunction("""COMPUTED_VALUE"""),149)</f>
        <v>149</v>
      </c>
      <c r="E63" s="12" t="str">
        <f aca="false">IFERROR(__xludf.dummyfunction("""COMPUTED_VALUE"""),"Мозговой штурм")</f>
        <v>Мозговой штурм</v>
      </c>
      <c r="F63" s="1" t="n">
        <f aca="false">TRUE()</f>
        <v>1</v>
      </c>
      <c r="G63" s="1" t="n">
        <f aca="false">TRUE()</f>
        <v>1</v>
      </c>
      <c r="H63" s="1" t="n">
        <f aca="false">TRUE()</f>
        <v>1</v>
      </c>
      <c r="I63" s="1" t="n">
        <f aca="false">TRUE()</f>
        <v>1</v>
      </c>
      <c r="J63" s="1" t="n">
        <f aca="false">TRUE()</f>
        <v>1</v>
      </c>
      <c r="K63" s="0" t="n">
        <f aca="false">IFERROR(__xludf.dummyfunction("""COMPUTED_VALUE"""),54)</f>
        <v>54</v>
      </c>
    </row>
    <row r="64" customFormat="false" ht="15.75" hidden="false" customHeight="false" outlineLevel="0" collapsed="false">
      <c r="A64" s="0" t="str">
        <f aca="false">IFERROR(__xludf.dummyfunction("""COMPUTED_VALUE"""),"Локтионова")</f>
        <v>Локтионова</v>
      </c>
      <c r="B64" s="0" t="str">
        <f aca="false">IFERROR(__xludf.dummyfunction("""COMPUTED_VALUE"""),"Даниэла")</f>
        <v>Даниэла</v>
      </c>
      <c r="C64" s="0" t="n">
        <f aca="false">IFERROR(__xludf.dummyfunction("""COMPUTED_VALUE"""),10)</f>
        <v>10</v>
      </c>
      <c r="D64" s="0" t="n">
        <f aca="false">IFERROR(__xludf.dummyfunction("""COMPUTED_VALUE"""),64)</f>
        <v>64</v>
      </c>
      <c r="E64" s="12" t="str">
        <f aca="false">IFERROR(__xludf.dummyfunction("""COMPUTED_VALUE"""),"Мозговой штурм")</f>
        <v>Мозговой штурм</v>
      </c>
      <c r="F64" s="1" t="n">
        <f aca="false">TRUE()</f>
        <v>1</v>
      </c>
      <c r="G64" s="1" t="n">
        <f aca="false">FALSE()</f>
        <v>0</v>
      </c>
      <c r="H64" s="1" t="n">
        <f aca="false">FALSE()</f>
        <v>0</v>
      </c>
      <c r="I64" s="1" t="n">
        <f aca="false">TRUE()</f>
        <v>1</v>
      </c>
      <c r="J64" s="1" t="n">
        <f aca="false">FALSE()</f>
        <v>0</v>
      </c>
      <c r="K64" s="0" t="n">
        <f aca="false">IFERROR(__xludf.dummyfunction("""COMPUTED_VALUE"""),67)</f>
        <v>67</v>
      </c>
    </row>
    <row r="65" customFormat="false" ht="15.75" hidden="false" customHeight="false" outlineLevel="0" collapsed="false">
      <c r="A65" s="0" t="str">
        <f aca="false">IFERROR(__xludf.dummyfunction("""COMPUTED_VALUE"""),"Макарова")</f>
        <v>Макарова</v>
      </c>
      <c r="B65" s="0" t="str">
        <f aca="false">IFERROR(__xludf.dummyfunction("""COMPUTED_VALUE"""),"Елизавета")</f>
        <v>Елизавета</v>
      </c>
      <c r="C65" s="0" t="n">
        <f aca="false">IFERROR(__xludf.dummyfunction("""COMPUTED_VALUE"""),9)</f>
        <v>9</v>
      </c>
      <c r="D65" s="0" t="n">
        <f aca="false">IFERROR(__xludf.dummyfunction("""COMPUTED_VALUE"""),74)</f>
        <v>74</v>
      </c>
      <c r="E65" s="12" t="str">
        <f aca="false">IFERROR(__xludf.dummyfunction("""COMPUTED_VALUE"""),"Мозговой штурм")</f>
        <v>Мозговой штурм</v>
      </c>
      <c r="F65" s="1" t="n">
        <f aca="false">TRUE()</f>
        <v>1</v>
      </c>
      <c r="G65" s="1" t="n">
        <f aca="false">TRUE()</f>
        <v>1</v>
      </c>
      <c r="H65" s="1" t="n">
        <f aca="false">FALSE()</f>
        <v>0</v>
      </c>
      <c r="I65" s="1" t="n">
        <f aca="false">TRUE()</f>
        <v>1</v>
      </c>
      <c r="J65" s="1" t="n">
        <f aca="false">FALSE()</f>
        <v>0</v>
      </c>
      <c r="K65" s="0" t="n">
        <f aca="false">IFERROR(__xludf.dummyfunction("""COMPUTED_VALUE"""),36)</f>
        <v>36</v>
      </c>
    </row>
    <row r="66" customFormat="false" ht="15.75" hidden="false" customHeight="false" outlineLevel="0" collapsed="false">
      <c r="A66" s="0" t="str">
        <f aca="false">IFERROR(__xludf.dummyfunction("""COMPUTED_VALUE"""),"Недобойко")</f>
        <v>Недобойко</v>
      </c>
      <c r="B66" s="0" t="str">
        <f aca="false">IFERROR(__xludf.dummyfunction("""COMPUTED_VALUE"""),"Полина ")</f>
        <v>Полина</v>
      </c>
      <c r="C66" s="0" t="n">
        <f aca="false">IFERROR(__xludf.dummyfunction("""COMPUTED_VALUE"""),9)</f>
        <v>9</v>
      </c>
      <c r="D66" s="0" t="n">
        <f aca="false">IFERROR(__xludf.dummyfunction("""COMPUTED_VALUE"""),117)</f>
        <v>117</v>
      </c>
      <c r="E66" s="12" t="str">
        <f aca="false">IFERROR(__xludf.dummyfunction("""COMPUTED_VALUE"""),"Мозговой штурм")</f>
        <v>Мозговой штурм</v>
      </c>
      <c r="F66" s="1" t="n">
        <f aca="false">TRUE()</f>
        <v>1</v>
      </c>
      <c r="G66" s="1" t="n">
        <f aca="false">FALSE()</f>
        <v>0</v>
      </c>
      <c r="H66" s="1" t="n">
        <f aca="false">FALSE()</f>
        <v>0</v>
      </c>
      <c r="I66" s="1" t="n">
        <f aca="false">FALSE()</f>
        <v>0</v>
      </c>
      <c r="J66" s="1" t="n">
        <f aca="false">FALSE()</f>
        <v>0</v>
      </c>
      <c r="K66" s="0" t="n">
        <f aca="false">IFERROR(__xludf.dummyfunction("""COMPUTED_VALUE"""),21)</f>
        <v>21</v>
      </c>
    </row>
    <row r="67" customFormat="false" ht="15.75" hidden="false" customHeight="false" outlineLevel="0" collapsed="false">
      <c r="A67" s="0" t="str">
        <f aca="false">IFERROR(__xludf.dummyfunction("""COMPUTED_VALUE"""),"Нуркушева")</f>
        <v>Нуркушева</v>
      </c>
      <c r="B67" s="0" t="str">
        <f aca="false">IFERROR(__xludf.dummyfunction("""COMPUTED_VALUE"""),"Асель")</f>
        <v>Асель</v>
      </c>
      <c r="C67" s="0" t="n">
        <f aca="false">IFERROR(__xludf.dummyfunction("""COMPUTED_VALUE"""),8)</f>
        <v>8</v>
      </c>
      <c r="D67" s="0" t="n">
        <f aca="false">IFERROR(__xludf.dummyfunction("""COMPUTED_VALUE"""),117)</f>
        <v>117</v>
      </c>
      <c r="E67" s="12" t="str">
        <f aca="false">IFERROR(__xludf.dummyfunction("""COMPUTED_VALUE"""),"Мозговой штурм")</f>
        <v>Мозговой штурм</v>
      </c>
      <c r="F67" s="1" t="n">
        <f aca="false">TRUE()</f>
        <v>1</v>
      </c>
      <c r="G67" s="1" t="n">
        <f aca="false">FALSE()</f>
        <v>0</v>
      </c>
      <c r="H67" s="1" t="n">
        <f aca="false">TRUE()</f>
        <v>1</v>
      </c>
      <c r="I67" s="1" t="n">
        <f aca="false">TRUE()</f>
        <v>1</v>
      </c>
      <c r="J67" s="1" t="n">
        <f aca="false">FALSE()</f>
        <v>0</v>
      </c>
      <c r="K67" s="0" t="n">
        <f aca="false">IFERROR(__xludf.dummyfunction("""COMPUTED_VALUE"""),65)</f>
        <v>65</v>
      </c>
    </row>
    <row r="68" customFormat="false" ht="15.75" hidden="false" customHeight="false" outlineLevel="0" collapsed="false">
      <c r="A68" s="0" t="str">
        <f aca="false">IFERROR(__xludf.dummyfunction("""COMPUTED_VALUE"""),"Ремизова")</f>
        <v>Ремизова</v>
      </c>
      <c r="B68" s="0" t="str">
        <f aca="false">IFERROR(__xludf.dummyfunction("""COMPUTED_VALUE"""),"Ульяна")</f>
        <v>Ульяна</v>
      </c>
      <c r="C68" s="0" t="n">
        <f aca="false">IFERROR(__xludf.dummyfunction("""COMPUTED_VALUE"""),8)</f>
        <v>8</v>
      </c>
      <c r="D68" s="0" t="n">
        <f aca="false">IFERROR(__xludf.dummyfunction("""COMPUTED_VALUE"""),117)</f>
        <v>117</v>
      </c>
      <c r="E68" s="12" t="str">
        <f aca="false">IFERROR(__xludf.dummyfunction("""COMPUTED_VALUE"""),"Мозговой штурм")</f>
        <v>Мозговой штурм</v>
      </c>
      <c r="F68" s="1" t="n">
        <f aca="false">TRUE()</f>
        <v>1</v>
      </c>
      <c r="G68" s="1" t="n">
        <f aca="false">TRUE()</f>
        <v>1</v>
      </c>
      <c r="H68" s="1" t="n">
        <f aca="false">TRUE()</f>
        <v>1</v>
      </c>
      <c r="I68" s="1" t="n">
        <f aca="false">FALSE()</f>
        <v>0</v>
      </c>
      <c r="J68" s="1" t="n">
        <f aca="false">FALSE()</f>
        <v>0</v>
      </c>
      <c r="K68" s="0" t="n">
        <f aca="false">IFERROR(__xludf.dummyfunction("""COMPUTED_VALUE"""),44)</f>
        <v>44</v>
      </c>
    </row>
    <row r="69" customFormat="false" ht="15.75" hidden="false" customHeight="false" outlineLevel="0" collapsed="false">
      <c r="A69" s="0" t="str">
        <f aca="false">IFERROR(__xludf.dummyfunction("""COMPUTED_VALUE"""),"рожкова")</f>
        <v>рожкова</v>
      </c>
      <c r="B69" s="0" t="str">
        <f aca="false">IFERROR(__xludf.dummyfunction("""COMPUTED_VALUE"""),"Вика")</f>
        <v>Вика</v>
      </c>
      <c r="C69" s="0" t="n">
        <f aca="false">IFERROR(__xludf.dummyfunction("""COMPUTED_VALUE"""),7)</f>
        <v>7</v>
      </c>
      <c r="D69" s="0" t="str">
        <f aca="false">IFERROR(__xludf.dummyfunction("""COMPUTED_VALUE"""),"Ключевская школа")</f>
        <v>Ключевская школа</v>
      </c>
      <c r="E69" s="12" t="str">
        <f aca="false">IFERROR(__xludf.dummyfunction("""COMPUTED_VALUE"""),"Мозговой штурм")</f>
        <v>Мозговой штурм</v>
      </c>
      <c r="F69" s="1" t="n">
        <f aca="false">TRUE()</f>
        <v>1</v>
      </c>
      <c r="G69" s="1" t="n">
        <f aca="false">TRUE()</f>
        <v>1</v>
      </c>
      <c r="H69" s="1" t="n">
        <f aca="false">TRUE()</f>
        <v>1</v>
      </c>
      <c r="I69" s="1" t="n">
        <f aca="false">TRUE()</f>
        <v>1</v>
      </c>
      <c r="J69" s="1" t="n">
        <f aca="false">TRUE()</f>
        <v>1</v>
      </c>
      <c r="K69" s="0" t="n">
        <f aca="false">IFERROR(__xludf.dummyfunction("""COMPUTED_VALUE"""),24)</f>
        <v>24</v>
      </c>
    </row>
    <row r="70" customFormat="false" ht="15.75" hidden="false" customHeight="false" outlineLevel="0" collapsed="false">
      <c r="A70" s="0" t="str">
        <f aca="false">IFERROR(__xludf.dummyfunction("""COMPUTED_VALUE"""),"таранова")</f>
        <v>таранова</v>
      </c>
      <c r="B70" s="0" t="str">
        <f aca="false">IFERROR(__xludf.dummyfunction("""COMPUTED_VALUE"""),"екатерина")</f>
        <v>екатерина</v>
      </c>
      <c r="C70" s="0" t="n">
        <f aca="false">IFERROR(__xludf.dummyfunction("""COMPUTED_VALUE"""),9)</f>
        <v>9</v>
      </c>
      <c r="D70" s="0" t="n">
        <f aca="false">IFERROR(__xludf.dummyfunction("""COMPUTED_VALUE"""),7)</f>
        <v>7</v>
      </c>
      <c r="E70" s="12" t="str">
        <f aca="false">IFERROR(__xludf.dummyfunction("""COMPUTED_VALUE"""),"Мозговой штурм")</f>
        <v>Мозговой штурм</v>
      </c>
      <c r="F70" s="1" t="n">
        <f aca="false">TRUE()</f>
        <v>1</v>
      </c>
      <c r="G70" s="1" t="n">
        <f aca="false">TRUE()</f>
        <v>1</v>
      </c>
      <c r="H70" s="1" t="n">
        <f aca="false">TRUE()</f>
        <v>1</v>
      </c>
      <c r="I70" s="1" t="n">
        <f aca="false">TRUE()</f>
        <v>1</v>
      </c>
      <c r="J70" s="1" t="n">
        <f aca="false">TRUE()</f>
        <v>1</v>
      </c>
      <c r="K70" s="0" t="n">
        <f aca="false">IFERROR(__xludf.dummyfunction("""COMPUTED_VALUE"""),15)</f>
        <v>15</v>
      </c>
    </row>
    <row r="71" customFormat="false" ht="15.75" hidden="false" customHeight="false" outlineLevel="0" collapsed="false">
      <c r="A71" s="0" t="str">
        <f aca="false">IFERROR(__xludf.dummyfunction("""COMPUTED_VALUE"""),"Терехова")</f>
        <v>Терехова</v>
      </c>
      <c r="B71" s="0" t="str">
        <f aca="false">IFERROR(__xludf.dummyfunction("""COMPUTED_VALUE"""),"Мария")</f>
        <v>Мария</v>
      </c>
      <c r="C71" s="0" t="n">
        <f aca="false">IFERROR(__xludf.dummyfunction("""COMPUTED_VALUE"""),9)</f>
        <v>9</v>
      </c>
      <c r="D71" s="0" t="n">
        <f aca="false">IFERROR(__xludf.dummyfunction("""COMPUTED_VALUE"""),139)</f>
        <v>139</v>
      </c>
      <c r="E71" s="12" t="str">
        <f aca="false">IFERROR(__xludf.dummyfunction("""COMPUTED_VALUE"""),"Мозговой штурм")</f>
        <v>Мозговой штурм</v>
      </c>
      <c r="F71" s="1" t="n">
        <f aca="false">TRUE()</f>
        <v>1</v>
      </c>
      <c r="G71" s="1" t="n">
        <f aca="false">TRUE()</f>
        <v>1</v>
      </c>
      <c r="H71" s="1" t="n">
        <f aca="false">TRUE()</f>
        <v>1</v>
      </c>
      <c r="I71" s="1" t="n">
        <f aca="false">TRUE()</f>
        <v>1</v>
      </c>
      <c r="J71" s="1" t="n">
        <f aca="false">TRUE()</f>
        <v>1</v>
      </c>
      <c r="K71" s="0" t="n">
        <f aca="false">IFERROR(__xludf.dummyfunction("""COMPUTED_VALUE"""),48)</f>
        <v>48</v>
      </c>
    </row>
    <row r="72" customFormat="false" ht="15.75" hidden="false" customHeight="false" outlineLevel="0" collapsed="false">
      <c r="A72" s="0" t="str">
        <f aca="false">IFERROR(__xludf.dummyfunction("""COMPUTED_VALUE"""),"Удовиченко ")</f>
        <v>Удовиченко</v>
      </c>
      <c r="B72" s="0" t="str">
        <f aca="false">IFERROR(__xludf.dummyfunction("""COMPUTED_VALUE"""),"Вероника")</f>
        <v>Вероника</v>
      </c>
      <c r="C72" s="0" t="n">
        <f aca="false">IFERROR(__xludf.dummyfunction("""COMPUTED_VALUE"""),8)</f>
        <v>8</v>
      </c>
      <c r="D72" s="0" t="n">
        <f aca="false">IFERROR(__xludf.dummyfunction("""COMPUTED_VALUE"""),117)</f>
        <v>117</v>
      </c>
      <c r="E72" s="12" t="str">
        <f aca="false">IFERROR(__xludf.dummyfunction("""COMPUTED_VALUE"""),"Мозговой штурм")</f>
        <v>Мозговой штурм</v>
      </c>
      <c r="F72" s="1" t="n">
        <f aca="false">TRUE()</f>
        <v>1</v>
      </c>
      <c r="G72" s="1" t="n">
        <f aca="false">TRUE()</f>
        <v>1</v>
      </c>
      <c r="H72" s="1" t="n">
        <f aca="false">TRUE()</f>
        <v>1</v>
      </c>
      <c r="I72" s="1" t="n">
        <f aca="false">TRUE()</f>
        <v>1</v>
      </c>
      <c r="J72" s="1" t="n">
        <f aca="false">FALSE()</f>
        <v>0</v>
      </c>
      <c r="K72" s="0" t="n">
        <f aca="false">IFERROR(__xludf.dummyfunction("""COMPUTED_VALUE"""),30)</f>
        <v>30</v>
      </c>
    </row>
    <row r="73" customFormat="false" ht="15.75" hidden="false" customHeight="false" outlineLevel="0" collapsed="false">
      <c r="A73" s="0" t="str">
        <f aca="false">IFERROR(__xludf.dummyfunction("""COMPUTED_VALUE"""),"Чебакова")</f>
        <v>Чебакова</v>
      </c>
      <c r="B73" s="0" t="str">
        <f aca="false">IFERROR(__xludf.dummyfunction("""COMPUTED_VALUE"""),"Майя")</f>
        <v>Майя</v>
      </c>
      <c r="C73" s="0" t="n">
        <f aca="false">IFERROR(__xludf.dummyfunction("""COMPUTED_VALUE"""),9)</f>
        <v>9</v>
      </c>
      <c r="D73" s="0" t="n">
        <f aca="false">IFERROR(__xludf.dummyfunction("""COMPUTED_VALUE"""),64)</f>
        <v>64</v>
      </c>
      <c r="E73" s="12" t="str">
        <f aca="false">IFERROR(__xludf.dummyfunction("""COMPUTED_VALUE"""),"Мозговой штурм")</f>
        <v>Мозговой штурм</v>
      </c>
      <c r="F73" s="1" t="n">
        <f aca="false">TRUE()</f>
        <v>1</v>
      </c>
      <c r="G73" s="1" t="n">
        <f aca="false">TRUE()</f>
        <v>1</v>
      </c>
      <c r="H73" s="1" t="n">
        <f aca="false">FALSE()</f>
        <v>0</v>
      </c>
      <c r="I73" s="1" t="n">
        <f aca="false">TRUE()</f>
        <v>1</v>
      </c>
      <c r="J73" s="1" t="n">
        <f aca="false">TRUE()</f>
        <v>1</v>
      </c>
      <c r="K73" s="0" t="n">
        <f aca="false">IFERROR(__xludf.dummyfunction("""COMPUTED_VALUE"""),50)</f>
        <v>50</v>
      </c>
    </row>
    <row r="74" customFormat="false" ht="15.75" hidden="false" customHeight="false" outlineLevel="0" collapsed="false">
      <c r="A74" s="0" t="str">
        <f aca="false">IFERROR(__xludf.dummyfunction("""COMPUTED_VALUE"""),"Шлыкова")</f>
        <v>Шлыкова</v>
      </c>
      <c r="B74" s="0" t="str">
        <f aca="false">IFERROR(__xludf.dummyfunction("""COMPUTED_VALUE"""),"Валерия ")</f>
        <v>Валерия</v>
      </c>
      <c r="C74" s="0" t="n">
        <f aca="false">IFERROR(__xludf.dummyfunction("""COMPUTED_VALUE"""),9)</f>
        <v>9</v>
      </c>
      <c r="D74" s="0" t="n">
        <f aca="false">IFERROR(__xludf.dummyfunction("""COMPUTED_VALUE"""),117)</f>
        <v>117</v>
      </c>
      <c r="E74" s="12" t="str">
        <f aca="false">IFERROR(__xludf.dummyfunction("""COMPUTED_VALUE"""),"Мозговой штурм")</f>
        <v>Мозговой штурм</v>
      </c>
      <c r="F74" s="1" t="n">
        <f aca="false">FALSE()</f>
        <v>0</v>
      </c>
      <c r="G74" s="1" t="n">
        <f aca="false">TRUE()</f>
        <v>1</v>
      </c>
      <c r="H74" s="1" t="n">
        <f aca="false">FALSE()</f>
        <v>0</v>
      </c>
      <c r="I74" s="1" t="n">
        <f aca="false">TRUE()</f>
        <v>1</v>
      </c>
      <c r="J74" s="1" t="n">
        <f aca="false">TRUE()</f>
        <v>1</v>
      </c>
      <c r="K74" s="0" t="n">
        <f aca="false">IFERROR(__xludf.dummyfunction("""COMPUTED_VALUE"""),90)</f>
        <v>90</v>
      </c>
    </row>
    <row r="75" customFormat="false" ht="15.75" hidden="false" customHeight="false" outlineLevel="0" collapsed="false">
      <c r="A75" s="0" t="str">
        <f aca="false">IFERROR(__xludf.dummyfunction("""COMPUTED_VALUE"""),"Щукина ")</f>
        <v>Щукина</v>
      </c>
      <c r="B75" s="0" t="str">
        <f aca="false">IFERROR(__xludf.dummyfunction("""COMPUTED_VALUE"""),"Елена ")</f>
        <v>Елена</v>
      </c>
      <c r="C75" s="0" t="n">
        <f aca="false">IFERROR(__xludf.dummyfunction("""COMPUTED_VALUE"""),7)</f>
        <v>7</v>
      </c>
      <c r="D75" s="0" t="n">
        <f aca="false">IFERROR(__xludf.dummyfunction("""COMPUTED_VALUE"""),12)</f>
        <v>12</v>
      </c>
      <c r="E75" s="12" t="str">
        <f aca="false">IFERROR(__xludf.dummyfunction("""COMPUTED_VALUE"""),"Мозговой штурм")</f>
        <v>Мозговой штурм</v>
      </c>
      <c r="F75" s="1" t="n">
        <f aca="false">TRUE()</f>
        <v>1</v>
      </c>
      <c r="G75" s="1" t="n">
        <f aca="false">TRUE()</f>
        <v>1</v>
      </c>
      <c r="H75" s="1" t="n">
        <f aca="false">TRUE()</f>
        <v>1</v>
      </c>
      <c r="I75" s="1" t="n">
        <f aca="false">TRUE()</f>
        <v>1</v>
      </c>
      <c r="J75" s="1" t="n">
        <f aca="false">TRUE()</f>
        <v>1</v>
      </c>
      <c r="K75" s="0" t="n">
        <f aca="false">IFERROR(__xludf.dummyfunction("""COMPUTED_VALUE"""),23)</f>
        <v>23</v>
      </c>
    </row>
    <row r="76" customFormat="false" ht="15.75" hidden="false" customHeight="false" outlineLevel="0" collapsed="false">
      <c r="A76" s="0" t="str">
        <f aca="false">IFERROR(__xludf.dummyfunction("""COMPUTED_VALUE"""),"Божко")</f>
        <v>Божко</v>
      </c>
      <c r="B76" s="0" t="str">
        <f aca="false">IFERROR(__xludf.dummyfunction("""COMPUTED_VALUE"""),"Ксения")</f>
        <v>Ксения</v>
      </c>
      <c r="C76" s="0" t="n">
        <f aca="false">IFERROR(__xludf.dummyfunction("""COMPUTED_VALUE"""),8)</f>
        <v>8</v>
      </c>
      <c r="D76" s="0" t="n">
        <f aca="false">IFERROR(__xludf.dummyfunction("""COMPUTED_VALUE"""),7)</f>
        <v>7</v>
      </c>
      <c r="E76" s="12" t="str">
        <f aca="false">IFERROR(__xludf.dummyfunction("""COMPUTED_VALUE"""),"Олимпиадная геометрия")</f>
        <v>Олимпиадная геометрия</v>
      </c>
      <c r="F76" s="1" t="n">
        <f aca="false">FALSE()</f>
        <v>0</v>
      </c>
      <c r="G76" s="1" t="n">
        <f aca="false">FALSE()</f>
        <v>0</v>
      </c>
      <c r="H76" s="1" t="n">
        <f aca="false">FALSE()</f>
        <v>0</v>
      </c>
      <c r="I76" s="1" t="n">
        <f aca="false">FALSE()</f>
        <v>0</v>
      </c>
      <c r="J76" s="1" t="n">
        <f aca="false">FALSE()</f>
        <v>0</v>
      </c>
      <c r="K76" s="0" t="n">
        <f aca="false">IFERROR(__xludf.dummyfunction("""COMPUTED_VALUE"""),149)</f>
        <v>149</v>
      </c>
    </row>
    <row r="77" customFormat="false" ht="15.75" hidden="false" customHeight="false" outlineLevel="0" collapsed="false">
      <c r="A77" s="0" t="str">
        <f aca="false">IFERROR(__xludf.dummyfunction("""COMPUTED_VALUE"""),"Власенко")</f>
        <v>Власенко</v>
      </c>
      <c r="B77" s="0" t="str">
        <f aca="false">IFERROR(__xludf.dummyfunction("""COMPUTED_VALUE"""),"Иван")</f>
        <v>Иван</v>
      </c>
      <c r="C77" s="0" t="n">
        <f aca="false">IFERROR(__xludf.dummyfunction("""COMPUTED_VALUE"""),8)</f>
        <v>8</v>
      </c>
      <c r="D77" s="0" t="n">
        <f aca="false">IFERROR(__xludf.dummyfunction("""COMPUTED_VALUE"""),84)</f>
        <v>84</v>
      </c>
      <c r="E77" s="12" t="str">
        <f aca="false">IFERROR(__xludf.dummyfunction("""COMPUTED_VALUE"""),"Олимпиадная геометрия")</f>
        <v>Олимпиадная геометрия</v>
      </c>
      <c r="F77" s="1" t="n">
        <f aca="false">FALSE()</f>
        <v>0</v>
      </c>
      <c r="G77" s="1" t="n">
        <f aca="false">FALSE()</f>
        <v>0</v>
      </c>
      <c r="H77" s="1" t="n">
        <f aca="false">FALSE()</f>
        <v>0</v>
      </c>
      <c r="I77" s="1" t="n">
        <f aca="false">FALSE()</f>
        <v>0</v>
      </c>
      <c r="J77" s="1" t="n">
        <f aca="false">FALSE()</f>
        <v>0</v>
      </c>
      <c r="K77" s="0" t="n">
        <f aca="false">IFERROR(__xludf.dummyfunction("""COMPUTED_VALUE"""),107)</f>
        <v>107</v>
      </c>
    </row>
    <row r="78" customFormat="false" ht="15.75" hidden="false" customHeight="false" outlineLevel="0" collapsed="false">
      <c r="A78" s="0" t="str">
        <f aca="false">IFERROR(__xludf.dummyfunction("""COMPUTED_VALUE"""),"Джураева")</f>
        <v>Джураева</v>
      </c>
      <c r="B78" s="0" t="str">
        <f aca="false">IFERROR(__xludf.dummyfunction("""COMPUTED_VALUE"""),"Рената")</f>
        <v>Рената</v>
      </c>
      <c r="C78" s="0" t="n">
        <f aca="false">IFERROR(__xludf.dummyfunction("""COMPUTED_VALUE"""),10)</f>
        <v>10</v>
      </c>
      <c r="D78" s="0" t="n">
        <f aca="false">IFERROR(__xludf.dummyfunction("""COMPUTED_VALUE"""),64)</f>
        <v>64</v>
      </c>
      <c r="E78" s="12" t="str">
        <f aca="false">IFERROR(__xludf.dummyfunction("""COMPUTED_VALUE"""),"Олимпиадная геометрия")</f>
        <v>Олимпиадная геометрия</v>
      </c>
      <c r="F78" s="1" t="n">
        <f aca="false">FALSE()</f>
        <v>0</v>
      </c>
      <c r="G78" s="1" t="n">
        <f aca="false">FALSE()</f>
        <v>0</v>
      </c>
      <c r="H78" s="1" t="n">
        <f aca="false">FALSE()</f>
        <v>0</v>
      </c>
      <c r="I78" s="1" t="n">
        <f aca="false">FALSE()</f>
        <v>0</v>
      </c>
      <c r="J78" s="1" t="n">
        <f aca="false">FALSE()</f>
        <v>0</v>
      </c>
      <c r="K78" s="0" t="n">
        <f aca="false">IFERROR(__xludf.dummyfunction("""COMPUTED_VALUE"""),8)</f>
        <v>8</v>
      </c>
    </row>
    <row r="79" customFormat="false" ht="15.75" hidden="false" customHeight="false" outlineLevel="0" collapsed="false">
      <c r="A79" s="0" t="str">
        <f aca="false">IFERROR(__xludf.dummyfunction("""COMPUTED_VALUE"""),"Евстратенко")</f>
        <v>Евстратенко</v>
      </c>
      <c r="B79" s="0" t="str">
        <f aca="false">IFERROR(__xludf.dummyfunction("""COMPUTED_VALUE"""),"Екатерина")</f>
        <v>Екатерина</v>
      </c>
      <c r="C79" s="0" t="n">
        <f aca="false">IFERROR(__xludf.dummyfunction("""COMPUTED_VALUE"""),9)</f>
        <v>9</v>
      </c>
      <c r="D79" s="0" t="n">
        <f aca="false">IFERROR(__xludf.dummyfunction("""COMPUTED_VALUE"""),117)</f>
        <v>117</v>
      </c>
      <c r="E79" s="12" t="str">
        <f aca="false">IFERROR(__xludf.dummyfunction("""COMPUTED_VALUE"""),"Олимпиадная геометрия")</f>
        <v>Олимпиадная геометрия</v>
      </c>
      <c r="F79" s="1" t="n">
        <f aca="false">FALSE()</f>
        <v>0</v>
      </c>
      <c r="G79" s="1" t="n">
        <f aca="false">FALSE()</f>
        <v>0</v>
      </c>
      <c r="H79" s="1" t="n">
        <f aca="false">FALSE()</f>
        <v>0</v>
      </c>
      <c r="I79" s="1" t="n">
        <f aca="false">FALSE()</f>
        <v>0</v>
      </c>
      <c r="J79" s="1" t="n">
        <f aca="false">FALSE()</f>
        <v>0</v>
      </c>
      <c r="K79" s="0" t="n">
        <f aca="false">IFERROR(__xludf.dummyfunction("""COMPUTED_VALUE"""),136)</f>
        <v>136</v>
      </c>
    </row>
    <row r="80" customFormat="false" ht="15.75" hidden="false" customHeight="false" outlineLevel="0" collapsed="false">
      <c r="A80" s="0" t="str">
        <f aca="false">IFERROR(__xludf.dummyfunction("""COMPUTED_VALUE"""),"Жирнов")</f>
        <v>Жирнов</v>
      </c>
      <c r="B80" s="0" t="str">
        <f aca="false">IFERROR(__xludf.dummyfunction("""COMPUTED_VALUE"""),"Арсений")</f>
        <v>Арсений</v>
      </c>
      <c r="C80" s="0" t="n">
        <f aca="false">IFERROR(__xludf.dummyfunction("""COMPUTED_VALUE"""),9)</f>
        <v>9</v>
      </c>
      <c r="D80" s="0" t="n">
        <f aca="false">IFERROR(__xludf.dummyfunction("""COMPUTED_VALUE"""),149)</f>
        <v>149</v>
      </c>
      <c r="E80" s="12" t="str">
        <f aca="false">IFERROR(__xludf.dummyfunction("""COMPUTED_VALUE"""),"Олимпиадная геометрия")</f>
        <v>Олимпиадная геометрия</v>
      </c>
      <c r="F80" s="1" t="n">
        <f aca="false">FALSE()</f>
        <v>0</v>
      </c>
      <c r="G80" s="1" t="n">
        <f aca="false">FALSE()</f>
        <v>0</v>
      </c>
      <c r="H80" s="1" t="n">
        <f aca="false">FALSE()</f>
        <v>0</v>
      </c>
      <c r="I80" s="1" t="n">
        <f aca="false">FALSE()</f>
        <v>0</v>
      </c>
      <c r="J80" s="1" t="n">
        <f aca="false">FALSE()</f>
        <v>0</v>
      </c>
      <c r="K80" s="0" t="n">
        <f aca="false">IFERROR(__xludf.dummyfunction("""COMPUTED_VALUE"""),33)</f>
        <v>33</v>
      </c>
    </row>
    <row r="81" customFormat="false" ht="15.75" hidden="false" customHeight="false" outlineLevel="0" collapsed="false">
      <c r="A81" s="0" t="str">
        <f aca="false">IFERROR(__xludf.dummyfunction("""COMPUTED_VALUE"""),"Жунусов")</f>
        <v>Жунусов</v>
      </c>
      <c r="B81" s="0" t="str">
        <f aca="false">IFERROR(__xludf.dummyfunction("""COMPUTED_VALUE"""),"Евгений")</f>
        <v>Евгений</v>
      </c>
      <c r="C81" s="0" t="n">
        <f aca="false">IFERROR(__xludf.dummyfunction("""COMPUTED_VALUE"""),8)</f>
        <v>8</v>
      </c>
      <c r="D81" s="0" t="n">
        <f aca="false">IFERROR(__xludf.dummyfunction("""COMPUTED_VALUE"""),109)</f>
        <v>109</v>
      </c>
      <c r="E81" s="12" t="str">
        <f aca="false">IFERROR(__xludf.dummyfunction("""COMPUTED_VALUE"""),"Олимпиадная геометрия")</f>
        <v>Олимпиадная геометрия</v>
      </c>
      <c r="F81" s="1" t="n">
        <f aca="false">TRUE()</f>
        <v>1</v>
      </c>
      <c r="G81" s="1" t="n">
        <f aca="false">TRUE()</f>
        <v>1</v>
      </c>
      <c r="H81" s="1" t="n">
        <f aca="false">TRUE()</f>
        <v>1</v>
      </c>
      <c r="I81" s="1" t="n">
        <f aca="false">FALSE()</f>
        <v>0</v>
      </c>
      <c r="J81" s="1" t="n">
        <f aca="false">FALSE()</f>
        <v>0</v>
      </c>
      <c r="K81" s="0" t="n">
        <f aca="false">IFERROR(__xludf.dummyfunction("""COMPUTED_VALUE"""),156)</f>
        <v>156</v>
      </c>
    </row>
    <row r="82" customFormat="false" ht="15.75" hidden="false" customHeight="false" outlineLevel="0" collapsed="false">
      <c r="A82" s="0" t="str">
        <f aca="false">IFERROR(__xludf.dummyfunction("""COMPUTED_VALUE"""),"Зернюк")</f>
        <v>Зернюк</v>
      </c>
      <c r="B82" s="0" t="str">
        <f aca="false">IFERROR(__xludf.dummyfunction("""COMPUTED_VALUE"""),"Андрей")</f>
        <v>Андрей</v>
      </c>
      <c r="C82" s="0" t="n">
        <f aca="false">IFERROR(__xludf.dummyfunction("""COMPUTED_VALUE"""),9)</f>
        <v>9</v>
      </c>
      <c r="D82" s="0" t="n">
        <f aca="false">IFERROR(__xludf.dummyfunction("""COMPUTED_VALUE"""),117)</f>
        <v>117</v>
      </c>
      <c r="E82" s="12" t="str">
        <f aca="false">IFERROR(__xludf.dummyfunction("""COMPUTED_VALUE"""),"Олимпиадная геометрия")</f>
        <v>Олимпиадная геометрия</v>
      </c>
      <c r="F82" s="1" t="n">
        <f aca="false">FALSE()</f>
        <v>0</v>
      </c>
      <c r="G82" s="1" t="n">
        <f aca="false">FALSE()</f>
        <v>0</v>
      </c>
      <c r="H82" s="1" t="n">
        <f aca="false">FALSE()</f>
        <v>0</v>
      </c>
      <c r="I82" s="1" t="n">
        <f aca="false">FALSE()</f>
        <v>0</v>
      </c>
      <c r="J82" s="1" t="n">
        <f aca="false">FALSE()</f>
        <v>0</v>
      </c>
      <c r="K82" s="0" t="n">
        <f aca="false">IFERROR(__xludf.dummyfunction("""COMPUTED_VALUE"""),69)</f>
        <v>69</v>
      </c>
    </row>
    <row r="83" customFormat="false" ht="15.75" hidden="false" customHeight="false" outlineLevel="0" collapsed="false">
      <c r="A83" s="0" t="str">
        <f aca="false">IFERROR(__xludf.dummyfunction("""COMPUTED_VALUE"""),"Колесник")</f>
        <v>Колесник</v>
      </c>
      <c r="B83" s="0" t="str">
        <f aca="false">IFERROR(__xludf.dummyfunction("""COMPUTED_VALUE"""),"Артём")</f>
        <v>Артём</v>
      </c>
      <c r="C83" s="0" t="n">
        <f aca="false">IFERROR(__xludf.dummyfunction("""COMPUTED_VALUE"""),10)</f>
        <v>10</v>
      </c>
      <c r="D83" s="0" t="n">
        <f aca="false">IFERROR(__xludf.dummyfunction("""COMPUTED_VALUE"""),64)</f>
        <v>64</v>
      </c>
      <c r="E83" s="12" t="str">
        <f aca="false">IFERROR(__xludf.dummyfunction("""COMPUTED_VALUE"""),"Олимпиадная геометрия")</f>
        <v>Олимпиадная геометрия</v>
      </c>
      <c r="F83" s="1" t="n">
        <f aca="false">TRUE()</f>
        <v>1</v>
      </c>
      <c r="G83" s="1" t="n">
        <f aca="false">TRUE()</f>
        <v>1</v>
      </c>
      <c r="H83" s="1" t="n">
        <f aca="false">TRUE()</f>
        <v>1</v>
      </c>
      <c r="I83" s="1" t="n">
        <f aca="false">FALSE()</f>
        <v>0</v>
      </c>
      <c r="J83" s="1" t="n">
        <f aca="false">FALSE()</f>
        <v>0</v>
      </c>
      <c r="K83" s="0" t="n">
        <f aca="false">IFERROR(__xludf.dummyfunction("""COMPUTED_VALUE"""),11)</f>
        <v>11</v>
      </c>
    </row>
    <row r="84" customFormat="false" ht="15.75" hidden="false" customHeight="false" outlineLevel="0" collapsed="false">
      <c r="A84" s="0" t="str">
        <f aca="false">IFERROR(__xludf.dummyfunction("""COMPUTED_VALUE"""),"Комнацкий")</f>
        <v>Комнацкий</v>
      </c>
      <c r="B84" s="0" t="str">
        <f aca="false">IFERROR(__xludf.dummyfunction("""COMPUTED_VALUE"""),"Александр")</f>
        <v>Александр</v>
      </c>
      <c r="C84" s="0" t="n">
        <f aca="false">IFERROR(__xludf.dummyfunction("""COMPUTED_VALUE"""),10)</f>
        <v>10</v>
      </c>
      <c r="D84" s="0" t="str">
        <f aca="false">IFERROR(__xludf.dummyfunction("""COMPUTED_VALUE"""),"СУНЦ МГУ")</f>
        <v>СУНЦ МГУ</v>
      </c>
      <c r="E84" s="12" t="str">
        <f aca="false">IFERROR(__xludf.dummyfunction("""COMPUTED_VALUE"""),"Олимпиадная геометрия")</f>
        <v>Олимпиадная геометрия</v>
      </c>
      <c r="F84" s="1" t="n">
        <f aca="false">FALSE()</f>
        <v>0</v>
      </c>
      <c r="G84" s="1" t="n">
        <f aca="false">FALSE()</f>
        <v>0</v>
      </c>
      <c r="H84" s="1" t="n">
        <f aca="false">FALSE()</f>
        <v>0</v>
      </c>
      <c r="I84" s="1" t="n">
        <f aca="false">FALSE()</f>
        <v>0</v>
      </c>
      <c r="J84" s="1" t="n">
        <f aca="false">FALSE()</f>
        <v>0</v>
      </c>
      <c r="K84" s="0" t="n">
        <f aca="false">IFERROR(__xludf.dummyfunction("""COMPUTED_VALUE"""),99)</f>
        <v>99</v>
      </c>
    </row>
    <row r="85" customFormat="false" ht="15.75" hidden="false" customHeight="false" outlineLevel="0" collapsed="false">
      <c r="A85" s="0" t="str">
        <f aca="false">IFERROR(__xludf.dummyfunction("""COMPUTED_VALUE"""),"Кочурова")</f>
        <v>Кочурова</v>
      </c>
      <c r="B85" s="0" t="str">
        <f aca="false">IFERROR(__xludf.dummyfunction("""COMPUTED_VALUE"""),"Елизавета")</f>
        <v>Елизавета</v>
      </c>
      <c r="C85" s="0" t="n">
        <f aca="false">IFERROR(__xludf.dummyfunction("""COMPUTED_VALUE"""),8)</f>
        <v>8</v>
      </c>
      <c r="D85" s="0" t="n">
        <f aca="false">IFERROR(__xludf.dummyfunction("""COMPUTED_VALUE"""),117)</f>
        <v>117</v>
      </c>
      <c r="E85" s="12" t="str">
        <f aca="false">IFERROR(__xludf.dummyfunction("""COMPUTED_VALUE"""),"Олимпиадная геометрия")</f>
        <v>Олимпиадная геометрия</v>
      </c>
      <c r="F85" s="1" t="n">
        <f aca="false">TRUE()</f>
        <v>1</v>
      </c>
      <c r="G85" s="1" t="n">
        <f aca="false">TRUE()</f>
        <v>1</v>
      </c>
      <c r="H85" s="1" t="n">
        <f aca="false">TRUE()</f>
        <v>1</v>
      </c>
      <c r="I85" s="1" t="n">
        <f aca="false">TRUE()</f>
        <v>1</v>
      </c>
      <c r="J85" s="1" t="n">
        <f aca="false">FALSE()</f>
        <v>0</v>
      </c>
      <c r="K85" s="0" t="n">
        <f aca="false">IFERROR(__xludf.dummyfunction("""COMPUTED_VALUE"""),59)</f>
        <v>59</v>
      </c>
    </row>
    <row r="86" customFormat="false" ht="15.75" hidden="false" customHeight="false" outlineLevel="0" collapsed="false">
      <c r="A86" s="0" t="str">
        <f aca="false">IFERROR(__xludf.dummyfunction("""COMPUTED_VALUE"""),"Кошевая")</f>
        <v>Кошевая</v>
      </c>
      <c r="B86" s="0" t="str">
        <f aca="false">IFERROR(__xludf.dummyfunction("""COMPUTED_VALUE"""),"Анастасия")</f>
        <v>Анастасия</v>
      </c>
      <c r="C86" s="0" t="n">
        <f aca="false">IFERROR(__xludf.dummyfunction("""COMPUTED_VALUE"""),9)</f>
        <v>9</v>
      </c>
      <c r="D86" s="0" t="n">
        <f aca="false">IFERROR(__xludf.dummyfunction("""COMPUTED_VALUE"""),117)</f>
        <v>117</v>
      </c>
      <c r="E86" s="12" t="str">
        <f aca="false">IFERROR(__xludf.dummyfunction("""COMPUTED_VALUE"""),"Олимпиадная геометрия")</f>
        <v>Олимпиадная геометрия</v>
      </c>
      <c r="F86" s="1" t="n">
        <f aca="false">TRUE()</f>
        <v>1</v>
      </c>
      <c r="G86" s="1" t="n">
        <f aca="false">FALSE()</f>
        <v>0</v>
      </c>
      <c r="H86" s="1" t="n">
        <f aca="false">TRUE()</f>
        <v>1</v>
      </c>
      <c r="I86" s="1" t="n">
        <f aca="false">TRUE()</f>
        <v>1</v>
      </c>
      <c r="J86" s="1" t="n">
        <f aca="false">FALSE()</f>
        <v>0</v>
      </c>
      <c r="K86" s="0" t="n">
        <f aca="false">IFERROR(__xludf.dummyfunction("""COMPUTED_VALUE"""),86)</f>
        <v>86</v>
      </c>
    </row>
    <row r="87" customFormat="false" ht="15.75" hidden="false" customHeight="false" outlineLevel="0" collapsed="false">
      <c r="A87" s="0" t="str">
        <f aca="false">IFERROR(__xludf.dummyfunction("""COMPUTED_VALUE"""),"Лапаницына")</f>
        <v>Лапаницына</v>
      </c>
      <c r="B87" s="0" t="str">
        <f aca="false">IFERROR(__xludf.dummyfunction("""COMPUTED_VALUE"""),"Анна")</f>
        <v>Анна</v>
      </c>
      <c r="C87" s="0" t="n">
        <f aca="false">IFERROR(__xludf.dummyfunction("""COMPUTED_VALUE"""),8)</f>
        <v>8</v>
      </c>
      <c r="D87" s="0" t="n">
        <f aca="false">IFERROR(__xludf.dummyfunction("""COMPUTED_VALUE"""),137)</f>
        <v>137</v>
      </c>
      <c r="E87" s="12" t="str">
        <f aca="false">IFERROR(__xludf.dummyfunction("""COMPUTED_VALUE"""),"Олимпиадная геометрия")</f>
        <v>Олимпиадная геометрия</v>
      </c>
      <c r="F87" s="1" t="n">
        <f aca="false">TRUE()</f>
        <v>1</v>
      </c>
      <c r="G87" s="1" t="n">
        <f aca="false">TRUE()</f>
        <v>1</v>
      </c>
      <c r="H87" s="1" t="n">
        <f aca="false">TRUE()</f>
        <v>1</v>
      </c>
      <c r="I87" s="1" t="n">
        <f aca="false">TRUE()</f>
        <v>1</v>
      </c>
      <c r="J87" s="1" t="n">
        <f aca="false">FALSE()</f>
        <v>0</v>
      </c>
      <c r="K87" s="0" t="n">
        <f aca="false">IFERROR(__xludf.dummyfunction("""COMPUTED_VALUE"""),100)</f>
        <v>100</v>
      </c>
    </row>
    <row r="88" customFormat="false" ht="15.75" hidden="false" customHeight="false" outlineLevel="0" collapsed="false">
      <c r="A88" s="0" t="str">
        <f aca="false">IFERROR(__xludf.dummyfunction("""COMPUTED_VALUE"""),"Лекант")</f>
        <v>Лекант</v>
      </c>
      <c r="B88" s="0" t="str">
        <f aca="false">IFERROR(__xludf.dummyfunction("""COMPUTED_VALUE"""),"Полина")</f>
        <v>Полина</v>
      </c>
      <c r="C88" s="0" t="n">
        <f aca="false">IFERROR(__xludf.dummyfunction("""COMPUTED_VALUE"""),10)</f>
        <v>10</v>
      </c>
      <c r="D88" s="0" t="n">
        <f aca="false">IFERROR(__xludf.dummyfunction("""COMPUTED_VALUE"""),117)</f>
        <v>117</v>
      </c>
      <c r="E88" s="12" t="str">
        <f aca="false">IFERROR(__xludf.dummyfunction("""COMPUTED_VALUE"""),"Олимпиадная геометрия")</f>
        <v>Олимпиадная геометрия</v>
      </c>
      <c r="F88" s="1" t="n">
        <f aca="false">FALSE()</f>
        <v>0</v>
      </c>
      <c r="G88" s="1" t="n">
        <f aca="false">FALSE()</f>
        <v>0</v>
      </c>
      <c r="H88" s="1" t="n">
        <f aca="false">FALSE()</f>
        <v>0</v>
      </c>
      <c r="I88" s="1" t="n">
        <f aca="false">FALSE()</f>
        <v>0</v>
      </c>
      <c r="J88" s="1" t="n">
        <f aca="false">FALSE()</f>
        <v>0</v>
      </c>
      <c r="K88" s="0" t="n">
        <f aca="false">IFERROR(__xludf.dummyfunction("""COMPUTED_VALUE"""),125)</f>
        <v>125</v>
      </c>
    </row>
    <row r="89" customFormat="false" ht="15.75" hidden="false" customHeight="false" outlineLevel="0" collapsed="false">
      <c r="A89" s="0" t="str">
        <f aca="false">IFERROR(__xludf.dummyfunction("""COMPUTED_VALUE"""),"Линкер")</f>
        <v>Линкер</v>
      </c>
      <c r="B89" s="0" t="str">
        <f aca="false">IFERROR(__xludf.dummyfunction("""COMPUTED_VALUE"""),"Екатерина")</f>
        <v>Екатерина</v>
      </c>
      <c r="C89" s="0" t="n">
        <f aca="false">IFERROR(__xludf.dummyfunction("""COMPUTED_VALUE"""),8)</f>
        <v>8</v>
      </c>
      <c r="D89" s="0" t="n">
        <f aca="false">IFERROR(__xludf.dummyfunction("""COMPUTED_VALUE"""),137)</f>
        <v>137</v>
      </c>
      <c r="E89" s="12" t="str">
        <f aca="false">IFERROR(__xludf.dummyfunction("""COMPUTED_VALUE"""),"Олимпиадная геометрия")</f>
        <v>Олимпиадная геометрия</v>
      </c>
      <c r="F89" s="1" t="n">
        <f aca="false">TRUE()</f>
        <v>1</v>
      </c>
      <c r="G89" s="1" t="n">
        <f aca="false">TRUE()</f>
        <v>1</v>
      </c>
      <c r="H89" s="1" t="n">
        <f aca="false">TRUE()</f>
        <v>1</v>
      </c>
      <c r="I89" s="1" t="n">
        <f aca="false">TRUE()</f>
        <v>1</v>
      </c>
      <c r="J89" s="1" t="n">
        <f aca="false">FALSE()</f>
        <v>0</v>
      </c>
      <c r="K89" s="0" t="n">
        <f aca="false">IFERROR(__xludf.dummyfunction("""COMPUTED_VALUE"""),101)</f>
        <v>101</v>
      </c>
    </row>
    <row r="90" customFormat="false" ht="15.75" hidden="false" customHeight="false" outlineLevel="0" collapsed="false">
      <c r="A90" s="0" t="str">
        <f aca="false">IFERROR(__xludf.dummyfunction("""COMPUTED_VALUE"""),"Лисовский")</f>
        <v>Лисовский</v>
      </c>
      <c r="B90" s="0" t="str">
        <f aca="false">IFERROR(__xludf.dummyfunction("""COMPUTED_VALUE"""),"Роман")</f>
        <v>Роман</v>
      </c>
      <c r="C90" s="0" t="n">
        <f aca="false">IFERROR(__xludf.dummyfunction("""COMPUTED_VALUE"""),9)</f>
        <v>9</v>
      </c>
      <c r="D90" s="0" t="n">
        <f aca="false">IFERROR(__xludf.dummyfunction("""COMPUTED_VALUE"""),139)</f>
        <v>139</v>
      </c>
      <c r="E90" s="12" t="str">
        <f aca="false">IFERROR(__xludf.dummyfunction("""COMPUTED_VALUE"""),"Олимпиадная геометрия")</f>
        <v>Олимпиадная геометрия</v>
      </c>
      <c r="F90" s="1" t="n">
        <f aca="false">TRUE()</f>
        <v>1</v>
      </c>
      <c r="G90" s="1" t="n">
        <f aca="false">FALSE()</f>
        <v>0</v>
      </c>
      <c r="H90" s="1" t="n">
        <f aca="false">TRUE()</f>
        <v>1</v>
      </c>
      <c r="I90" s="1" t="n">
        <f aca="false">TRUE()</f>
        <v>1</v>
      </c>
      <c r="J90" s="1" t="n">
        <f aca="false">FALSE()</f>
        <v>0</v>
      </c>
      <c r="K90" s="0" t="n">
        <f aca="false">IFERROR(__xludf.dummyfunction("""COMPUTED_VALUE"""),168)</f>
        <v>168</v>
      </c>
    </row>
    <row r="91" customFormat="false" ht="15.75" hidden="false" customHeight="false" outlineLevel="0" collapsed="false">
      <c r="A91" s="0" t="str">
        <f aca="false">IFERROR(__xludf.dummyfunction("""COMPUTED_VALUE"""),"Мороз")</f>
        <v>Мороз</v>
      </c>
      <c r="B91" s="0" t="str">
        <f aca="false">IFERROR(__xludf.dummyfunction("""COMPUTED_VALUE"""),"Георгий")</f>
        <v>Георгий</v>
      </c>
      <c r="C91" s="0" t="n">
        <f aca="false">IFERROR(__xludf.dummyfunction("""COMPUTED_VALUE"""),7)</f>
        <v>7</v>
      </c>
      <c r="D91" s="0" t="n">
        <f aca="false">IFERROR(__xludf.dummyfunction("""COMPUTED_VALUE"""),117)</f>
        <v>117</v>
      </c>
      <c r="E91" s="12" t="str">
        <f aca="false">IFERROR(__xludf.dummyfunction("""COMPUTED_VALUE"""),"Олимпиадная геометрия")</f>
        <v>Олимпиадная геометрия</v>
      </c>
      <c r="F91" s="1" t="n">
        <f aca="false">TRUE()</f>
        <v>1</v>
      </c>
      <c r="G91" s="1" t="n">
        <f aca="false">TRUE()</f>
        <v>1</v>
      </c>
      <c r="H91" s="1" t="n">
        <f aca="false">FALSE()</f>
        <v>0</v>
      </c>
      <c r="I91" s="1" t="n">
        <f aca="false">FALSE()</f>
        <v>0</v>
      </c>
      <c r="J91" s="1" t="n">
        <f aca="false">FALSE()</f>
        <v>0</v>
      </c>
      <c r="K91" s="0" t="n">
        <f aca="false">IFERROR(__xludf.dummyfunction("""COMPUTED_VALUE"""),171)</f>
        <v>171</v>
      </c>
    </row>
    <row r="92" customFormat="false" ht="15.75" hidden="false" customHeight="false" outlineLevel="0" collapsed="false">
      <c r="A92" s="0" t="str">
        <f aca="false">IFERROR(__xludf.dummyfunction("""COMPUTED_VALUE"""),"Никитин")</f>
        <v>Никитин</v>
      </c>
      <c r="B92" s="0" t="str">
        <f aca="false">IFERROR(__xludf.dummyfunction("""COMPUTED_VALUE"""),"Никита")</f>
        <v>Никита</v>
      </c>
      <c r="C92" s="0" t="n">
        <f aca="false">IFERROR(__xludf.dummyfunction("""COMPUTED_VALUE"""),10)</f>
        <v>10</v>
      </c>
      <c r="D92" s="0" t="n">
        <f aca="false">IFERROR(__xludf.dummyfunction("""COMPUTED_VALUE"""),64)</f>
        <v>64</v>
      </c>
      <c r="E92" s="12" t="str">
        <f aca="false">IFERROR(__xludf.dummyfunction("""COMPUTED_VALUE"""),"Олимпиадная геометрия")</f>
        <v>Олимпиадная геометрия</v>
      </c>
      <c r="F92" s="1" t="n">
        <f aca="false">TRUE()</f>
        <v>1</v>
      </c>
      <c r="G92" s="1" t="n">
        <f aca="false">FALSE()</f>
        <v>0</v>
      </c>
      <c r="H92" s="1" t="n">
        <f aca="false">FALSE()</f>
        <v>0</v>
      </c>
      <c r="I92" s="1" t="n">
        <f aca="false">FALSE()</f>
        <v>0</v>
      </c>
      <c r="J92" s="1" t="n">
        <f aca="false">FALSE()</f>
        <v>0</v>
      </c>
      <c r="K92" s="0" t="n">
        <f aca="false">IFERROR(__xludf.dummyfunction("""COMPUTED_VALUE"""),19)</f>
        <v>19</v>
      </c>
    </row>
    <row r="93" customFormat="false" ht="15.75" hidden="false" customHeight="false" outlineLevel="0" collapsed="false">
      <c r="A93" s="0" t="str">
        <f aca="false">IFERROR(__xludf.dummyfunction("""COMPUTED_VALUE"""),"Никифоров")</f>
        <v>Никифоров</v>
      </c>
      <c r="B93" s="0" t="str">
        <f aca="false">IFERROR(__xludf.dummyfunction("""COMPUTED_VALUE"""),"Лука")</f>
        <v>Лука</v>
      </c>
      <c r="C93" s="0" t="n">
        <f aca="false">IFERROR(__xludf.dummyfunction("""COMPUTED_VALUE"""),10)</f>
        <v>10</v>
      </c>
      <c r="D93" s="0" t="n">
        <f aca="false">IFERROR(__xludf.dummyfunction("""COMPUTED_VALUE"""),64)</f>
        <v>64</v>
      </c>
      <c r="E93" s="12" t="str">
        <f aca="false">IFERROR(__xludf.dummyfunction("""COMPUTED_VALUE"""),"Олимпиадная геометрия")</f>
        <v>Олимпиадная геометрия</v>
      </c>
      <c r="F93" s="1" t="n">
        <f aca="false">TRUE()</f>
        <v>1</v>
      </c>
      <c r="G93" s="1" t="n">
        <f aca="false">TRUE()</f>
        <v>1</v>
      </c>
      <c r="H93" s="1" t="n">
        <f aca="false">TRUE()</f>
        <v>1</v>
      </c>
      <c r="I93" s="1" t="n">
        <f aca="false">TRUE()</f>
        <v>1</v>
      </c>
      <c r="J93" s="1" t="n">
        <f aca="false">FALSE()</f>
        <v>0</v>
      </c>
      <c r="K93" s="0" t="n">
        <f aca="false">IFERROR(__xludf.dummyfunction("""COMPUTED_VALUE"""),5)</f>
        <v>5</v>
      </c>
    </row>
    <row r="94" customFormat="false" ht="15.75" hidden="false" customHeight="false" outlineLevel="0" collapsed="false">
      <c r="A94" s="0" t="str">
        <f aca="false">IFERROR(__xludf.dummyfunction("""COMPUTED_VALUE"""),"Протченко")</f>
        <v>Протченко</v>
      </c>
      <c r="B94" s="0" t="str">
        <f aca="false">IFERROR(__xludf.dummyfunction("""COMPUTED_VALUE"""),"Анастасия")</f>
        <v>Анастасия</v>
      </c>
      <c r="C94" s="0" t="n">
        <f aca="false">IFERROR(__xludf.dummyfunction("""COMPUTED_VALUE"""),9)</f>
        <v>9</v>
      </c>
      <c r="D94" s="0" t="n">
        <f aca="false">IFERROR(__xludf.dummyfunction("""COMPUTED_VALUE"""),17)</f>
        <v>17</v>
      </c>
      <c r="E94" s="12" t="str">
        <f aca="false">IFERROR(__xludf.dummyfunction("""COMPUTED_VALUE"""),"Олимпиадная геометрия")</f>
        <v>Олимпиадная геометрия</v>
      </c>
      <c r="F94" s="1" t="n">
        <f aca="false">FALSE()</f>
        <v>0</v>
      </c>
      <c r="G94" s="1" t="n">
        <f aca="false">FALSE()</f>
        <v>0</v>
      </c>
      <c r="H94" s="1" t="n">
        <f aca="false">FALSE()</f>
        <v>0</v>
      </c>
      <c r="I94" s="1" t="n">
        <f aca="false">FALSE()</f>
        <v>0</v>
      </c>
      <c r="J94" s="1" t="n">
        <f aca="false">FALSE()</f>
        <v>0</v>
      </c>
      <c r="K94" s="0" t="n">
        <f aca="false">IFERROR(__xludf.dummyfunction("""COMPUTED_VALUE"""),159)</f>
        <v>159</v>
      </c>
    </row>
    <row r="95" customFormat="false" ht="15.75" hidden="false" customHeight="false" outlineLevel="0" collapsed="false">
      <c r="A95" s="0" t="str">
        <f aca="false">IFERROR(__xludf.dummyfunction("""COMPUTED_VALUE"""),"Пьянзин")</f>
        <v>Пьянзин</v>
      </c>
      <c r="B95" s="0" t="str">
        <f aca="false">IFERROR(__xludf.dummyfunction("""COMPUTED_VALUE"""),"Богдан")</f>
        <v>Богдан</v>
      </c>
      <c r="C95" s="0" t="n">
        <f aca="false">IFERROR(__xludf.dummyfunction("""COMPUTED_VALUE"""),8)</f>
        <v>8</v>
      </c>
      <c r="D95" s="0" t="n">
        <f aca="false">IFERROR(__xludf.dummyfunction("""COMPUTED_VALUE"""),117)</f>
        <v>117</v>
      </c>
      <c r="E95" s="12" t="str">
        <f aca="false">IFERROR(__xludf.dummyfunction("""COMPUTED_VALUE"""),"Олимпиадная геометрия")</f>
        <v>Олимпиадная геометрия</v>
      </c>
      <c r="F95" s="1" t="n">
        <f aca="false">TRUE()</f>
        <v>1</v>
      </c>
      <c r="G95" s="1" t="n">
        <f aca="false">TRUE()</f>
        <v>1</v>
      </c>
      <c r="H95" s="1" t="n">
        <f aca="false">TRUE()</f>
        <v>1</v>
      </c>
      <c r="I95" s="1" t="n">
        <f aca="false">TRUE()</f>
        <v>1</v>
      </c>
      <c r="J95" s="1" t="n">
        <f aca="false">FALSE()</f>
        <v>0</v>
      </c>
      <c r="K95" s="0" t="n">
        <f aca="false">IFERROR(__xludf.dummyfunction("""COMPUTED_VALUE"""),97)</f>
        <v>97</v>
      </c>
    </row>
    <row r="96" customFormat="false" ht="15.75" hidden="false" customHeight="false" outlineLevel="0" collapsed="false">
      <c r="A96" s="0" t="str">
        <f aca="false">IFERROR(__xludf.dummyfunction("""COMPUTED_VALUE"""),"Смирнов")</f>
        <v>Смирнов</v>
      </c>
      <c r="B96" s="0" t="str">
        <f aca="false">IFERROR(__xludf.dummyfunction("""COMPUTED_VALUE"""),"Михаил")</f>
        <v>Михаил</v>
      </c>
      <c r="C96" s="0" t="n">
        <f aca="false">IFERROR(__xludf.dummyfunction("""COMPUTED_VALUE"""),9)</f>
        <v>9</v>
      </c>
      <c r="D96" s="0" t="n">
        <f aca="false">IFERROR(__xludf.dummyfunction("""COMPUTED_VALUE"""),117)</f>
        <v>117</v>
      </c>
      <c r="E96" s="12" t="str">
        <f aca="false">IFERROR(__xludf.dummyfunction("""COMPUTED_VALUE"""),"Олимпиадная геометрия")</f>
        <v>Олимпиадная геометрия</v>
      </c>
      <c r="F96" s="1" t="n">
        <f aca="false">TRUE()</f>
        <v>1</v>
      </c>
      <c r="G96" s="1" t="n">
        <f aca="false">TRUE()</f>
        <v>1</v>
      </c>
      <c r="H96" s="1" t="n">
        <f aca="false">TRUE()</f>
        <v>1</v>
      </c>
      <c r="I96" s="1" t="n">
        <f aca="false">TRUE()</f>
        <v>1</v>
      </c>
      <c r="J96" s="1" t="n">
        <f aca="false">FALSE()</f>
        <v>0</v>
      </c>
      <c r="K96" s="0" t="n">
        <f aca="false">IFERROR(__xludf.dummyfunction("""COMPUTED_VALUE"""),124)</f>
        <v>124</v>
      </c>
    </row>
    <row r="97" customFormat="false" ht="15.75" hidden="false" customHeight="false" outlineLevel="0" collapsed="false">
      <c r="A97" s="0" t="str">
        <f aca="false">IFERROR(__xludf.dummyfunction("""COMPUTED_VALUE"""),"Степанов")</f>
        <v>Степанов</v>
      </c>
      <c r="B97" s="0" t="str">
        <f aca="false">IFERROR(__xludf.dummyfunction("""COMPUTED_VALUE"""),"Михаил")</f>
        <v>Михаил</v>
      </c>
      <c r="C97" s="0" t="n">
        <f aca="false">IFERROR(__xludf.dummyfunction("""COMPUTED_VALUE"""),7)</f>
        <v>7</v>
      </c>
      <c r="D97" s="0" t="n">
        <f aca="false">IFERROR(__xludf.dummyfunction("""COMPUTED_VALUE"""),117)</f>
        <v>117</v>
      </c>
      <c r="E97" s="12" t="str">
        <f aca="false">IFERROR(__xludf.dummyfunction("""COMPUTED_VALUE"""),"Олимпиадная геометрия")</f>
        <v>Олимпиадная геометрия</v>
      </c>
      <c r="F97" s="1" t="n">
        <f aca="false">TRUE()</f>
        <v>1</v>
      </c>
      <c r="G97" s="1" t="n">
        <f aca="false">TRUE()</f>
        <v>1</v>
      </c>
      <c r="H97" s="1" t="n">
        <f aca="false">TRUE()</f>
        <v>1</v>
      </c>
      <c r="I97" s="1" t="n">
        <f aca="false">TRUE()</f>
        <v>1</v>
      </c>
      <c r="J97" s="1" t="n">
        <f aca="false">FALSE()</f>
        <v>0</v>
      </c>
      <c r="K97" s="0" t="n">
        <f aca="false">IFERROR(__xludf.dummyfunction("""COMPUTED_VALUE"""),158)</f>
        <v>158</v>
      </c>
    </row>
    <row r="98" customFormat="false" ht="15.75" hidden="false" customHeight="false" outlineLevel="0" collapsed="false">
      <c r="A98" s="0" t="str">
        <f aca="false">IFERROR(__xludf.dummyfunction("""COMPUTED_VALUE"""),"Тимомеев")</f>
        <v>Тимомеев</v>
      </c>
      <c r="B98" s="0" t="str">
        <f aca="false">IFERROR(__xludf.dummyfunction("""COMPUTED_VALUE"""),"Рустам")</f>
        <v>Рустам</v>
      </c>
      <c r="C98" s="0" t="n">
        <f aca="false">IFERROR(__xludf.dummyfunction("""COMPUTED_VALUE"""),10)</f>
        <v>10</v>
      </c>
      <c r="D98" s="0" t="n">
        <f aca="false">IFERROR(__xludf.dummyfunction("""COMPUTED_VALUE"""),117)</f>
        <v>117</v>
      </c>
      <c r="E98" s="12" t="str">
        <f aca="false">IFERROR(__xludf.dummyfunction("""COMPUTED_VALUE"""),"Олимпиадная геометрия")</f>
        <v>Олимпиадная геометрия</v>
      </c>
      <c r="F98" s="1" t="n">
        <f aca="false">FALSE()</f>
        <v>0</v>
      </c>
      <c r="G98" s="1" t="n">
        <f aca="false">FALSE()</f>
        <v>0</v>
      </c>
      <c r="H98" s="1" t="n">
        <f aca="false">FALSE()</f>
        <v>0</v>
      </c>
      <c r="I98" s="1" t="n">
        <f aca="false">FALSE()</f>
        <v>0</v>
      </c>
      <c r="J98" s="1" t="n">
        <f aca="false">FALSE()</f>
        <v>0</v>
      </c>
      <c r="K98" s="0" t="n">
        <f aca="false">IFERROR(__xludf.dummyfunction("""COMPUTED_VALUE"""),132)</f>
        <v>132</v>
      </c>
    </row>
    <row r="99" customFormat="false" ht="15.75" hidden="false" customHeight="false" outlineLevel="0" collapsed="false">
      <c r="A99" s="0" t="str">
        <f aca="false">IFERROR(__xludf.dummyfunction("""COMPUTED_VALUE"""),"Хохлов ")</f>
        <v>Хохлов</v>
      </c>
      <c r="B99" s="0" t="str">
        <f aca="false">IFERROR(__xludf.dummyfunction("""COMPUTED_VALUE"""),"Александр")</f>
        <v>Александр</v>
      </c>
      <c r="C99" s="0" t="n">
        <f aca="false">IFERROR(__xludf.dummyfunction("""COMPUTED_VALUE"""),8)</f>
        <v>8</v>
      </c>
      <c r="D99" s="0" t="n">
        <f aca="false">IFERROR(__xludf.dummyfunction("""COMPUTED_VALUE"""),117)</f>
        <v>117</v>
      </c>
      <c r="E99" s="12" t="str">
        <f aca="false">IFERROR(__xludf.dummyfunction("""COMPUTED_VALUE"""),"Олимпиадная геометрия")</f>
        <v>Олимпиадная геометрия</v>
      </c>
      <c r="F99" s="1" t="n">
        <f aca="false">TRUE()</f>
        <v>1</v>
      </c>
      <c r="G99" s="1" t="n">
        <f aca="false">TRUE()</f>
        <v>1</v>
      </c>
      <c r="H99" s="1" t="n">
        <f aca="false">FALSE()</f>
        <v>0</v>
      </c>
      <c r="I99" s="1" t="n">
        <f aca="false">FALSE()</f>
        <v>0</v>
      </c>
      <c r="J99" s="1" t="n">
        <f aca="false">FALSE()</f>
        <v>0</v>
      </c>
      <c r="K99" s="0" t="n">
        <f aca="false">IFERROR(__xludf.dummyfunction("""COMPUTED_VALUE"""),87)</f>
        <v>87</v>
      </c>
    </row>
    <row r="100" customFormat="false" ht="15.75" hidden="false" customHeight="false" outlineLevel="0" collapsed="false">
      <c r="A100" s="0" t="str">
        <f aca="false">IFERROR(__xludf.dummyfunction("""COMPUTED_VALUE"""),"Асаинов")</f>
        <v>Асаинов</v>
      </c>
      <c r="B100" s="0" t="str">
        <f aca="false">IFERROR(__xludf.dummyfunction("""COMPUTED_VALUE"""),"Дарий")</f>
        <v>Дарий</v>
      </c>
      <c r="C100" s="0" t="n">
        <f aca="false">IFERROR(__xludf.dummyfunction("""COMPUTED_VALUE"""),10)</f>
        <v>10</v>
      </c>
      <c r="D100" s="0" t="n">
        <f aca="false">IFERROR(__xludf.dummyfunction("""COMPUTED_VALUE"""),64)</f>
        <v>64</v>
      </c>
      <c r="E100" s="12" t="str">
        <f aca="false">IFERROR(__xludf.dummyfunction("""COMPUTED_VALUE"""),"Питон")</f>
        <v>Питон</v>
      </c>
      <c r="F100" s="1" t="n">
        <f aca="false">TRUE()</f>
        <v>1</v>
      </c>
      <c r="G100" s="1" t="n">
        <f aca="false">TRUE()</f>
        <v>1</v>
      </c>
      <c r="H100" s="1" t="n">
        <f aca="false">FALSE()</f>
        <v>0</v>
      </c>
      <c r="I100" s="1" t="n">
        <f aca="false">FALSE()</f>
        <v>0</v>
      </c>
      <c r="J100" s="1" t="n">
        <f aca="false">FALSE()</f>
        <v>0</v>
      </c>
      <c r="K100" s="0" t="n">
        <f aca="false">IFERROR(__xludf.dummyfunction("""COMPUTED_VALUE"""),49)</f>
        <v>49</v>
      </c>
    </row>
    <row r="101" customFormat="false" ht="15.75" hidden="false" customHeight="false" outlineLevel="0" collapsed="false">
      <c r="A101" s="0" t="str">
        <f aca="false">IFERROR(__xludf.dummyfunction("""COMPUTED_VALUE"""),"Барнёва")</f>
        <v>Барнёва</v>
      </c>
      <c r="B101" s="0" t="str">
        <f aca="false">IFERROR(__xludf.dummyfunction("""COMPUTED_VALUE"""),"Софья")</f>
        <v>Софья</v>
      </c>
      <c r="C101" s="0" t="n">
        <f aca="false">IFERROR(__xludf.dummyfunction("""COMPUTED_VALUE"""),9)</f>
        <v>9</v>
      </c>
      <c r="D101" s="0" t="n">
        <f aca="false">IFERROR(__xludf.dummyfunction("""COMPUTED_VALUE"""),117)</f>
        <v>117</v>
      </c>
      <c r="E101" s="12" t="str">
        <f aca="false">IFERROR(__xludf.dummyfunction("""COMPUTED_VALUE"""),"Питон")</f>
        <v>Питон</v>
      </c>
      <c r="F101" s="1" t="n">
        <f aca="false">FALSE()</f>
        <v>0</v>
      </c>
      <c r="G101" s="1" t="n">
        <f aca="false">FALSE()</f>
        <v>0</v>
      </c>
      <c r="H101" s="1" t="n">
        <f aca="false">FALSE()</f>
        <v>0</v>
      </c>
      <c r="I101" s="1" t="n">
        <f aca="false">FALSE()</f>
        <v>0</v>
      </c>
      <c r="J101" s="1" t="n">
        <f aca="false">FALSE()</f>
        <v>0</v>
      </c>
      <c r="K101" s="0" t="n">
        <f aca="false">IFERROR(__xludf.dummyfunction("""COMPUTED_VALUE"""),22)</f>
        <v>22</v>
      </c>
    </row>
    <row r="102" customFormat="false" ht="15.75" hidden="false" customHeight="false" outlineLevel="0" collapsed="false">
      <c r="A102" s="0" t="str">
        <f aca="false">IFERROR(__xludf.dummyfunction("""COMPUTED_VALUE"""),"Братухина ")</f>
        <v>Братухина</v>
      </c>
      <c r="B102" s="0" t="str">
        <f aca="false">IFERROR(__xludf.dummyfunction("""COMPUTED_VALUE"""),"Альбина")</f>
        <v>Альбина</v>
      </c>
      <c r="C102" s="0" t="n">
        <f aca="false">IFERROR(__xludf.dummyfunction("""COMPUTED_VALUE"""),10)</f>
        <v>10</v>
      </c>
      <c r="D102" s="0" t="n">
        <f aca="false">IFERROR(__xludf.dummyfunction("""COMPUTED_VALUE"""),139)</f>
        <v>139</v>
      </c>
      <c r="E102" s="12" t="str">
        <f aca="false">IFERROR(__xludf.dummyfunction("""COMPUTED_VALUE"""),"Питон")</f>
        <v>Питон</v>
      </c>
      <c r="F102" s="1" t="n">
        <f aca="false">TRUE()</f>
        <v>1</v>
      </c>
      <c r="G102" s="1" t="n">
        <f aca="false">TRUE()</f>
        <v>1</v>
      </c>
      <c r="H102" s="1" t="n">
        <f aca="false">FALSE()</f>
        <v>0</v>
      </c>
      <c r="I102" s="1" t="n">
        <f aca="false">TRUE()</f>
        <v>1</v>
      </c>
      <c r="J102" s="1" t="n">
        <f aca="false">TRUE()</f>
        <v>1</v>
      </c>
      <c r="K102" s="0" t="n">
        <f aca="false">IFERROR(__xludf.dummyfunction("""COMPUTED_VALUE"""),42)</f>
        <v>42</v>
      </c>
    </row>
    <row r="103" customFormat="false" ht="15.75" hidden="false" customHeight="false" outlineLevel="0" collapsed="false">
      <c r="A103" s="0" t="str">
        <f aca="false">IFERROR(__xludf.dummyfunction("""COMPUTED_VALUE"""),"Волченко")</f>
        <v>Волченко</v>
      </c>
      <c r="B103" s="0" t="str">
        <f aca="false">IFERROR(__xludf.dummyfunction("""COMPUTED_VALUE"""),"Вадим")</f>
        <v>Вадим</v>
      </c>
      <c r="C103" s="0" t="n">
        <f aca="false">IFERROR(__xludf.dummyfunction("""COMPUTED_VALUE"""),9)</f>
        <v>9</v>
      </c>
      <c r="D103" s="0" t="n">
        <f aca="false">IFERROR(__xludf.dummyfunction("""COMPUTED_VALUE"""),117)</f>
        <v>117</v>
      </c>
      <c r="E103" s="12" t="str">
        <f aca="false">IFERROR(__xludf.dummyfunction("""COMPUTED_VALUE"""),"Питон")</f>
        <v>Питон</v>
      </c>
      <c r="F103" s="1" t="n">
        <f aca="false">FALSE()</f>
        <v>0</v>
      </c>
      <c r="G103" s="1" t="n">
        <f aca="false">FALSE()</f>
        <v>0</v>
      </c>
      <c r="H103" s="1" t="n">
        <f aca="false">FALSE()</f>
        <v>0</v>
      </c>
      <c r="I103" s="1" t="n">
        <f aca="false">FALSE()</f>
        <v>0</v>
      </c>
      <c r="J103" s="1" t="n">
        <f aca="false">FALSE()</f>
        <v>0</v>
      </c>
      <c r="K103" s="0" t="n">
        <f aca="false">IFERROR(__xludf.dummyfunction("""COMPUTED_VALUE"""),141)</f>
        <v>141</v>
      </c>
    </row>
    <row r="104" customFormat="false" ht="15.75" hidden="false" customHeight="false" outlineLevel="0" collapsed="false">
      <c r="A104" s="0" t="str">
        <f aca="false">IFERROR(__xludf.dummyfunction("""COMPUTED_VALUE"""),"Галыба")</f>
        <v>Галыба</v>
      </c>
      <c r="B104" s="0" t="str">
        <f aca="false">IFERROR(__xludf.dummyfunction("""COMPUTED_VALUE"""),"Леонид")</f>
        <v>Леонид</v>
      </c>
      <c r="C104" s="0" t="n">
        <f aca="false">IFERROR(__xludf.dummyfunction("""COMPUTED_VALUE"""),10)</f>
        <v>10</v>
      </c>
      <c r="D104" s="0" t="n">
        <f aca="false">IFERROR(__xludf.dummyfunction("""COMPUTED_VALUE"""),117)</f>
        <v>117</v>
      </c>
      <c r="E104" s="12" t="str">
        <f aca="false">IFERROR(__xludf.dummyfunction("""COMPUTED_VALUE"""),"Питон")</f>
        <v>Питон</v>
      </c>
      <c r="F104" s="1" t="n">
        <f aca="false">FALSE()</f>
        <v>0</v>
      </c>
      <c r="G104" s="1" t="n">
        <f aca="false">FALSE()</f>
        <v>0</v>
      </c>
      <c r="H104" s="1" t="n">
        <f aca="false">FALSE()</f>
        <v>0</v>
      </c>
      <c r="I104" s="1" t="n">
        <f aca="false">FALSE()</f>
        <v>0</v>
      </c>
      <c r="J104" s="1" t="n">
        <f aca="false">FALSE()</f>
        <v>0</v>
      </c>
      <c r="K104" s="0" t="n">
        <f aca="false">IFERROR(__xludf.dummyfunction("""COMPUTED_VALUE"""),147)</f>
        <v>147</v>
      </c>
    </row>
    <row r="105" customFormat="false" ht="15.75" hidden="false" customHeight="false" outlineLevel="0" collapsed="false">
      <c r="A105" s="0" t="str">
        <f aca="false">IFERROR(__xludf.dummyfunction("""COMPUTED_VALUE"""),"Деркач")</f>
        <v>Деркач</v>
      </c>
      <c r="B105" s="0" t="str">
        <f aca="false">IFERROR(__xludf.dummyfunction("""COMPUTED_VALUE"""),"Александра")</f>
        <v>Александра</v>
      </c>
      <c r="C105" s="0" t="n">
        <f aca="false">IFERROR(__xludf.dummyfunction("""COMPUTED_VALUE"""),9)</f>
        <v>9</v>
      </c>
      <c r="D105" s="0" t="n">
        <f aca="false">IFERROR(__xludf.dummyfunction("""COMPUTED_VALUE"""),117)</f>
        <v>117</v>
      </c>
      <c r="E105" s="12" t="str">
        <f aca="false">IFERROR(__xludf.dummyfunction("""COMPUTED_VALUE"""),"Питон")</f>
        <v>Питон</v>
      </c>
      <c r="F105" s="1" t="n">
        <f aca="false">FALSE()</f>
        <v>0</v>
      </c>
      <c r="G105" s="1" t="n">
        <f aca="false">FALSE()</f>
        <v>0</v>
      </c>
      <c r="H105" s="1" t="n">
        <f aca="false">FALSE()</f>
        <v>0</v>
      </c>
      <c r="I105" s="1" t="n">
        <f aca="false">FALSE()</f>
        <v>0</v>
      </c>
      <c r="J105" s="1" t="n">
        <f aca="false">FALSE()</f>
        <v>0</v>
      </c>
      <c r="K105" s="0" t="n">
        <f aca="false">IFERROR(__xludf.dummyfunction("""COMPUTED_VALUE"""),35)</f>
        <v>35</v>
      </c>
    </row>
    <row r="106" customFormat="false" ht="15.75" hidden="false" customHeight="false" outlineLevel="0" collapsed="false">
      <c r="A106" s="0" t="str">
        <f aca="false">IFERROR(__xludf.dummyfunction("""COMPUTED_VALUE"""),"Добролежа")</f>
        <v>Добролежа</v>
      </c>
      <c r="B106" s="0" t="str">
        <f aca="false">IFERROR(__xludf.dummyfunction("""COMPUTED_VALUE"""),"Олеся")</f>
        <v>Олеся</v>
      </c>
      <c r="C106" s="0" t="n">
        <f aca="false">IFERROR(__xludf.dummyfunction("""COMPUTED_VALUE"""),7)</f>
        <v>7</v>
      </c>
      <c r="D106" s="0" t="n">
        <f aca="false">IFERROR(__xludf.dummyfunction("""COMPUTED_VALUE"""),140)</f>
        <v>140</v>
      </c>
      <c r="E106" s="12" t="str">
        <f aca="false">IFERROR(__xludf.dummyfunction("""COMPUTED_VALUE"""),"Питон")</f>
        <v>Питон</v>
      </c>
      <c r="F106" s="1" t="n">
        <f aca="false">TRUE()</f>
        <v>1</v>
      </c>
      <c r="G106" s="1" t="n">
        <f aca="false">TRUE()</f>
        <v>1</v>
      </c>
      <c r="H106" s="1" t="n">
        <f aca="false">TRUE()</f>
        <v>1</v>
      </c>
      <c r="I106" s="1" t="n">
        <f aca="false">TRUE()</f>
        <v>1</v>
      </c>
      <c r="J106" s="1" t="n">
        <f aca="false">TRUE()</f>
        <v>1</v>
      </c>
      <c r="K106" s="0" t="n">
        <f aca="false">IFERROR(__xludf.dummyfunction("""COMPUTED_VALUE"""),113)</f>
        <v>113</v>
      </c>
    </row>
    <row r="107" customFormat="false" ht="15.75" hidden="false" customHeight="false" outlineLevel="0" collapsed="false">
      <c r="A107" s="0" t="str">
        <f aca="false">IFERROR(__xludf.dummyfunction("""COMPUTED_VALUE"""),"Жилин")</f>
        <v>Жилин</v>
      </c>
      <c r="B107" s="0" t="str">
        <f aca="false">IFERROR(__xludf.dummyfunction("""COMPUTED_VALUE"""),"Михаил")</f>
        <v>Михаил</v>
      </c>
      <c r="C107" s="0" t="n">
        <f aca="false">IFERROR(__xludf.dummyfunction("""COMPUTED_VALUE"""),9)</f>
        <v>9</v>
      </c>
      <c r="D107" s="0" t="n">
        <f aca="false">IFERROR(__xludf.dummyfunction("""COMPUTED_VALUE"""),117)</f>
        <v>117</v>
      </c>
      <c r="E107" s="12" t="str">
        <f aca="false">IFERROR(__xludf.dummyfunction("""COMPUTED_VALUE"""),"Питон")</f>
        <v>Питон</v>
      </c>
      <c r="F107" s="1" t="n">
        <f aca="false">TRUE()</f>
        <v>1</v>
      </c>
      <c r="G107" s="1" t="n">
        <f aca="false">TRUE()</f>
        <v>1</v>
      </c>
      <c r="H107" s="1" t="n">
        <f aca="false">TRUE()</f>
        <v>1</v>
      </c>
      <c r="I107" s="1" t="n">
        <f aca="false">TRUE()</f>
        <v>1</v>
      </c>
      <c r="J107" s="1" t="n">
        <f aca="false">TRUE()</f>
        <v>1</v>
      </c>
      <c r="K107" s="0" t="n">
        <f aca="false">IFERROR(__xludf.dummyfunction("""COMPUTED_VALUE"""),133)</f>
        <v>133</v>
      </c>
    </row>
    <row r="108" customFormat="false" ht="15.75" hidden="false" customHeight="false" outlineLevel="0" collapsed="false">
      <c r="A108" s="0" t="str">
        <f aca="false">IFERROR(__xludf.dummyfunction("""COMPUTED_VALUE"""),"Зайцева")</f>
        <v>Зайцева</v>
      </c>
      <c r="B108" s="0" t="str">
        <f aca="false">IFERROR(__xludf.dummyfunction("""COMPUTED_VALUE"""),"Марина")</f>
        <v>Марина</v>
      </c>
      <c r="C108" s="0" t="n">
        <f aca="false">IFERROR(__xludf.dummyfunction("""COMPUTED_VALUE"""),9)</f>
        <v>9</v>
      </c>
      <c r="D108" s="0" t="n">
        <f aca="false">IFERROR(__xludf.dummyfunction("""COMPUTED_VALUE"""),149)</f>
        <v>149</v>
      </c>
      <c r="E108" s="12" t="str">
        <f aca="false">IFERROR(__xludf.dummyfunction("""COMPUTED_VALUE"""),"Питон")</f>
        <v>Питон</v>
      </c>
      <c r="F108" s="1" t="n">
        <f aca="false">TRUE()</f>
        <v>1</v>
      </c>
      <c r="G108" s="1" t="n">
        <f aca="false">TRUE()</f>
        <v>1</v>
      </c>
      <c r="H108" s="1" t="n">
        <f aca="false">TRUE()</f>
        <v>1</v>
      </c>
      <c r="I108" s="1" t="n">
        <f aca="false">TRUE()</f>
        <v>1</v>
      </c>
      <c r="J108" s="1" t="n">
        <f aca="false">TRUE()</f>
        <v>1</v>
      </c>
      <c r="K108" s="0" t="n">
        <f aca="false">IFERROR(__xludf.dummyfunction("""COMPUTED_VALUE"""),41)</f>
        <v>41</v>
      </c>
    </row>
    <row r="109" customFormat="false" ht="15.75" hidden="false" customHeight="false" outlineLevel="0" collapsed="false">
      <c r="A109" s="0" t="str">
        <f aca="false">IFERROR(__xludf.dummyfunction("""COMPUTED_VALUE"""),"Каяшов")</f>
        <v>Каяшов</v>
      </c>
      <c r="B109" s="0" t="str">
        <f aca="false">IFERROR(__xludf.dummyfunction("""COMPUTED_VALUE"""),"Даниил")</f>
        <v>Даниил</v>
      </c>
      <c r="C109" s="0" t="n">
        <f aca="false">IFERROR(__xludf.dummyfunction("""COMPUTED_VALUE"""),9)</f>
        <v>9</v>
      </c>
      <c r="D109" s="0" t="n">
        <f aca="false">IFERROR(__xludf.dummyfunction("""COMPUTED_VALUE"""),117)</f>
        <v>117</v>
      </c>
      <c r="E109" s="12" t="str">
        <f aca="false">IFERROR(__xludf.dummyfunction("""COMPUTED_VALUE"""),"Питон")</f>
        <v>Питон</v>
      </c>
      <c r="F109" s="1" t="n">
        <f aca="false">TRUE()</f>
        <v>1</v>
      </c>
      <c r="G109" s="1" t="n">
        <f aca="false">TRUE()</f>
        <v>1</v>
      </c>
      <c r="H109" s="1" t="n">
        <f aca="false">TRUE()</f>
        <v>1</v>
      </c>
      <c r="I109" s="1" t="n">
        <f aca="false">TRUE()</f>
        <v>1</v>
      </c>
      <c r="J109" s="1" t="n">
        <f aca="false">TRUE()</f>
        <v>1</v>
      </c>
      <c r="K109" s="0" t="n">
        <f aca="false">IFERROR(__xludf.dummyfunction("""COMPUTED_VALUE"""),120)</f>
        <v>120</v>
      </c>
    </row>
    <row r="110" customFormat="false" ht="15.75" hidden="false" customHeight="false" outlineLevel="0" collapsed="false">
      <c r="A110" s="0" t="str">
        <f aca="false">IFERROR(__xludf.dummyfunction("""COMPUTED_VALUE"""),"Моргун ")</f>
        <v>Моргун</v>
      </c>
      <c r="B110" s="0" t="str">
        <f aca="false">IFERROR(__xludf.dummyfunction("""COMPUTED_VALUE"""),"Иван")</f>
        <v>Иван</v>
      </c>
      <c r="C110" s="0" t="n">
        <f aca="false">IFERROR(__xludf.dummyfunction("""COMPUTED_VALUE"""),9)</f>
        <v>9</v>
      </c>
      <c r="D110" s="0" t="n">
        <f aca="false">IFERROR(__xludf.dummyfunction("""COMPUTED_VALUE"""),117)</f>
        <v>117</v>
      </c>
      <c r="E110" s="12" t="str">
        <f aca="false">IFERROR(__xludf.dummyfunction("""COMPUTED_VALUE"""),"Питон")</f>
        <v>Питон</v>
      </c>
      <c r="F110" s="1" t="n">
        <f aca="false">TRUE()</f>
        <v>1</v>
      </c>
      <c r="G110" s="1" t="n">
        <f aca="false">TRUE()</f>
        <v>1</v>
      </c>
      <c r="H110" s="1" t="n">
        <f aca="false">TRUE()</f>
        <v>1</v>
      </c>
      <c r="I110" s="1" t="n">
        <f aca="false">TRUE()</f>
        <v>1</v>
      </c>
      <c r="J110" s="1" t="n">
        <f aca="false">TRUE()</f>
        <v>1</v>
      </c>
      <c r="K110" s="0" t="n">
        <f aca="false">IFERROR(__xludf.dummyfunction("""COMPUTED_VALUE"""),62)</f>
        <v>62</v>
      </c>
    </row>
    <row r="111" customFormat="false" ht="15.75" hidden="false" customHeight="false" outlineLevel="0" collapsed="false">
      <c r="A111" s="0" t="str">
        <f aca="false">IFERROR(__xludf.dummyfunction("""COMPUTED_VALUE"""),"Рядовой")</f>
        <v>Рядовой</v>
      </c>
      <c r="B111" s="0" t="str">
        <f aca="false">IFERROR(__xludf.dummyfunction("""COMPUTED_VALUE"""),"Тимофей")</f>
        <v>Тимофей</v>
      </c>
      <c r="C111" s="0" t="n">
        <f aca="false">IFERROR(__xludf.dummyfunction("""COMPUTED_VALUE"""),9)</f>
        <v>9</v>
      </c>
      <c r="D111" s="0" t="n">
        <f aca="false">IFERROR(__xludf.dummyfunction("""COMPUTED_VALUE"""),117)</f>
        <v>117</v>
      </c>
      <c r="E111" s="12" t="str">
        <f aca="false">IFERROR(__xludf.dummyfunction("""COMPUTED_VALUE"""),"Питон")</f>
        <v>Питон</v>
      </c>
      <c r="F111" s="1" t="n">
        <f aca="false">TRUE()</f>
        <v>1</v>
      </c>
      <c r="G111" s="1" t="n">
        <f aca="false">TRUE()</f>
        <v>1</v>
      </c>
      <c r="H111" s="1" t="n">
        <f aca="false">FALSE()</f>
        <v>0</v>
      </c>
      <c r="I111" s="1" t="n">
        <f aca="false">TRUE()</f>
        <v>1</v>
      </c>
      <c r="J111" s="1" t="n">
        <f aca="false">FALSE()</f>
        <v>0</v>
      </c>
      <c r="K111" s="0" t="n">
        <f aca="false">IFERROR(__xludf.dummyfunction("""COMPUTED_VALUE"""),61)</f>
        <v>61</v>
      </c>
    </row>
    <row r="112" customFormat="false" ht="15.75" hidden="false" customHeight="false" outlineLevel="0" collapsed="false">
      <c r="A112" s="0" t="str">
        <f aca="false">IFERROR(__xludf.dummyfunction("""COMPUTED_VALUE"""),"Синельникова ")</f>
        <v>Синельникова</v>
      </c>
      <c r="B112" s="0" t="str">
        <f aca="false">IFERROR(__xludf.dummyfunction("""COMPUTED_VALUE"""),"Поля")</f>
        <v>Поля</v>
      </c>
      <c r="C112" s="0" t="n">
        <f aca="false">IFERROR(__xludf.dummyfunction("""COMPUTED_VALUE"""),11)</f>
        <v>11</v>
      </c>
      <c r="D112" s="0" t="n">
        <f aca="false">IFERROR(__xludf.dummyfunction("""COMPUTED_VALUE"""),19)</f>
        <v>19</v>
      </c>
      <c r="E112" s="12" t="str">
        <f aca="false">IFERROR(__xludf.dummyfunction("""COMPUTED_VALUE"""),"Питон")</f>
        <v>Питон</v>
      </c>
      <c r="F112" s="1" t="n">
        <f aca="false">TRUE()</f>
        <v>1</v>
      </c>
      <c r="G112" s="1" t="n">
        <f aca="false">TRUE()</f>
        <v>1</v>
      </c>
      <c r="H112" s="1" t="n">
        <f aca="false">TRUE()</f>
        <v>1</v>
      </c>
      <c r="I112" s="1" t="n">
        <f aca="false">TRUE()</f>
        <v>1</v>
      </c>
      <c r="J112" s="1" t="n">
        <f aca="false">FALSE()</f>
        <v>0</v>
      </c>
      <c r="K112" s="0" t="n">
        <f aca="false">IFERROR(__xludf.dummyfunction("""COMPUTED_VALUE"""),2)</f>
        <v>2</v>
      </c>
    </row>
    <row r="113" customFormat="false" ht="15.75" hidden="false" customHeight="false" outlineLevel="0" collapsed="false">
      <c r="A113" s="0" t="str">
        <f aca="false">IFERROR(__xludf.dummyfunction("""COMPUTED_VALUE"""),"Анохина ")</f>
        <v>Анохина</v>
      </c>
      <c r="B113" s="0" t="str">
        <f aca="false">IFERROR(__xludf.dummyfunction("""COMPUTED_VALUE"""),"Полина ")</f>
        <v>Полина</v>
      </c>
      <c r="C113" s="0" t="n">
        <f aca="false">IFERROR(__xludf.dummyfunction("""COMPUTED_VALUE"""),8)</f>
        <v>8</v>
      </c>
      <c r="D113" s="0" t="n">
        <f aca="false">IFERROR(__xludf.dummyfunction("""COMPUTED_VALUE"""),117)</f>
        <v>117</v>
      </c>
      <c r="E113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13" s="1" t="n">
        <f aca="false">FALSE()</f>
        <v>0</v>
      </c>
      <c r="G113" s="1" t="n">
        <f aca="false">FALSE()</f>
        <v>0</v>
      </c>
      <c r="H113" s="1" t="n">
        <f aca="false">FALSE()</f>
        <v>0</v>
      </c>
      <c r="I113" s="1" t="n">
        <f aca="false">TRUE()</f>
        <v>1</v>
      </c>
      <c r="J113" s="1" t="n">
        <f aca="false">FALSE()</f>
        <v>0</v>
      </c>
      <c r="K113" s="0" t="n">
        <f aca="false">IFERROR(__xludf.dummyfunction("""COMPUTED_VALUE"""),105)</f>
        <v>105</v>
      </c>
    </row>
    <row r="114" customFormat="false" ht="15.75" hidden="false" customHeight="false" outlineLevel="0" collapsed="false">
      <c r="A114" s="0" t="str">
        <f aca="false">IFERROR(__xludf.dummyfunction("""COMPUTED_VALUE"""),"Белим ")</f>
        <v>Белим</v>
      </c>
      <c r="B114" s="0" t="str">
        <f aca="false">IFERROR(__xludf.dummyfunction("""COMPUTED_VALUE"""),"Екатерина ")</f>
        <v>Екатерина</v>
      </c>
      <c r="C114" s="0" t="n">
        <f aca="false">IFERROR(__xludf.dummyfunction("""COMPUTED_VALUE"""),8)</f>
        <v>8</v>
      </c>
      <c r="D114" s="0" t="n">
        <f aca="false">IFERROR(__xludf.dummyfunction("""COMPUTED_VALUE"""),117)</f>
        <v>117</v>
      </c>
      <c r="E114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14" s="1" t="n">
        <f aca="false">FALSE()</f>
        <v>0</v>
      </c>
      <c r="G114" s="1" t="n">
        <f aca="false">FALSE()</f>
        <v>0</v>
      </c>
      <c r="H114" s="1" t="n">
        <f aca="false">FALSE()</f>
        <v>0</v>
      </c>
      <c r="I114" s="1" t="n">
        <f aca="false">FALSE()</f>
        <v>0</v>
      </c>
      <c r="J114" s="1" t="n">
        <f aca="false">FALSE()</f>
        <v>0</v>
      </c>
      <c r="K114" s="0" t="n">
        <f aca="false">IFERROR(__xludf.dummyfunction("""COMPUTED_VALUE"""),73)</f>
        <v>73</v>
      </c>
    </row>
    <row r="115" customFormat="false" ht="15.75" hidden="false" customHeight="false" outlineLevel="0" collapsed="false">
      <c r="A115" s="0" t="str">
        <f aca="false">IFERROR(__xludf.dummyfunction("""COMPUTED_VALUE"""),"Васильева")</f>
        <v>Васильева</v>
      </c>
      <c r="B115" s="0" t="str">
        <f aca="false">IFERROR(__xludf.dummyfunction("""COMPUTED_VALUE"""),"Мария ")</f>
        <v>Мария</v>
      </c>
      <c r="C115" s="0" t="n">
        <f aca="false">IFERROR(__xludf.dummyfunction("""COMPUTED_VALUE"""),10)</f>
        <v>10</v>
      </c>
      <c r="D115" s="0" t="n">
        <f aca="false">IFERROR(__xludf.dummyfunction("""COMPUTED_VALUE"""),117)</f>
        <v>117</v>
      </c>
      <c r="E115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15" s="1" t="n">
        <f aca="false">TRUE()</f>
        <v>1</v>
      </c>
      <c r="G115" s="1" t="n">
        <f aca="false">TRUE()</f>
        <v>1</v>
      </c>
      <c r="H115" s="1" t="n">
        <f aca="false">TRUE()</f>
        <v>1</v>
      </c>
      <c r="I115" s="1" t="n">
        <f aca="false">TRUE()</f>
        <v>1</v>
      </c>
      <c r="J115" s="1" t="n">
        <f aca="false">FALSE()</f>
        <v>0</v>
      </c>
      <c r="K115" s="0" t="n">
        <f aca="false">IFERROR(__xludf.dummyfunction("""COMPUTED_VALUE"""),25)</f>
        <v>25</v>
      </c>
    </row>
    <row r="116" customFormat="false" ht="15.75" hidden="false" customHeight="false" outlineLevel="0" collapsed="false">
      <c r="A116" s="0" t="str">
        <f aca="false">IFERROR(__xludf.dummyfunction("""COMPUTED_VALUE"""),"Волобуева")</f>
        <v>Волобуева</v>
      </c>
      <c r="B116" s="0" t="str">
        <f aca="false">IFERROR(__xludf.dummyfunction("""COMPUTED_VALUE"""),"Настя")</f>
        <v>Настя</v>
      </c>
      <c r="C116" s="0" t="n">
        <f aca="false">IFERROR(__xludf.dummyfunction("""COMPUTED_VALUE"""),10)</f>
        <v>10</v>
      </c>
      <c r="D116" s="0" t="n">
        <f aca="false">IFERROR(__xludf.dummyfunction("""COMPUTED_VALUE"""),104)</f>
        <v>104</v>
      </c>
      <c r="E116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16" s="1" t="n">
        <f aca="false">TRUE()</f>
        <v>1</v>
      </c>
      <c r="G116" s="1" t="n">
        <f aca="false">TRUE()</f>
        <v>1</v>
      </c>
      <c r="H116" s="1" t="n">
        <f aca="false">TRUE()</f>
        <v>1</v>
      </c>
      <c r="I116" s="1" t="n">
        <f aca="false">TRUE()</f>
        <v>1</v>
      </c>
      <c r="J116" s="1" t="n">
        <f aca="false">TRUE()</f>
        <v>1</v>
      </c>
      <c r="K116" s="0" t="n">
        <f aca="false">IFERROR(__xludf.dummyfunction("""COMPUTED_VALUE"""),79)</f>
        <v>79</v>
      </c>
    </row>
    <row r="117" customFormat="false" ht="15.75" hidden="false" customHeight="false" outlineLevel="0" collapsed="false">
      <c r="A117" s="0" t="str">
        <f aca="false">IFERROR(__xludf.dummyfunction("""COMPUTED_VALUE"""),"Геталова")</f>
        <v>Геталова</v>
      </c>
      <c r="B117" s="0" t="str">
        <f aca="false">IFERROR(__xludf.dummyfunction("""COMPUTED_VALUE"""),"Ирина")</f>
        <v>Ирина</v>
      </c>
      <c r="C117" s="0" t="n">
        <f aca="false">IFERROR(__xludf.dummyfunction("""COMPUTED_VALUE"""),10)</f>
        <v>10</v>
      </c>
      <c r="D117" s="0" t="n">
        <f aca="false">IFERROR(__xludf.dummyfunction("""COMPUTED_VALUE"""),36)</f>
        <v>36</v>
      </c>
      <c r="E117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17" s="1" t="n">
        <f aca="false">TRUE()</f>
        <v>1</v>
      </c>
      <c r="G117" s="1" t="n">
        <f aca="false">TRUE()</f>
        <v>1</v>
      </c>
      <c r="H117" s="1" t="n">
        <f aca="false">TRUE()</f>
        <v>1</v>
      </c>
      <c r="I117" s="1" t="n">
        <f aca="false">TRUE()</f>
        <v>1</v>
      </c>
      <c r="J117" s="1" t="n">
        <f aca="false">TRUE()</f>
        <v>1</v>
      </c>
      <c r="K117" s="0" t="n">
        <f aca="false">IFERROR(__xludf.dummyfunction("""COMPUTED_VALUE"""),52)</f>
        <v>52</v>
      </c>
    </row>
    <row r="118" customFormat="false" ht="15.75" hidden="false" customHeight="false" outlineLevel="0" collapsed="false">
      <c r="A118" s="0" t="str">
        <f aca="false">IFERROR(__xludf.dummyfunction("""COMPUTED_VALUE"""),"Григорьев ")</f>
        <v>Григорьев</v>
      </c>
      <c r="B118" s="0" t="str">
        <f aca="false">IFERROR(__xludf.dummyfunction("""COMPUTED_VALUE"""),"Сергей")</f>
        <v>Сергей</v>
      </c>
      <c r="C118" s="0" t="n">
        <f aca="false">IFERROR(__xludf.dummyfunction("""COMPUTED_VALUE"""),10)</f>
        <v>10</v>
      </c>
      <c r="D118" s="0" t="n">
        <f aca="false">IFERROR(__xludf.dummyfunction("""COMPUTED_VALUE"""),117)</f>
        <v>117</v>
      </c>
      <c r="E118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18" s="1" t="n">
        <f aca="false">FALSE()</f>
        <v>0</v>
      </c>
      <c r="G118" s="1" t="n">
        <f aca="false">FALSE()</f>
        <v>0</v>
      </c>
      <c r="H118" s="1" t="n">
        <f aca="false">FALSE()</f>
        <v>0</v>
      </c>
      <c r="I118" s="1" t="n">
        <f aca="false">FALSE()</f>
        <v>0</v>
      </c>
      <c r="J118" s="1" t="n">
        <f aca="false">FALSE()</f>
        <v>0</v>
      </c>
      <c r="K118" s="0" t="n">
        <f aca="false">IFERROR(__xludf.dummyfunction("""COMPUTED_VALUE"""),108)</f>
        <v>108</v>
      </c>
    </row>
    <row r="119" customFormat="false" ht="15.75" hidden="false" customHeight="false" outlineLevel="0" collapsed="false">
      <c r="A119" s="0" t="str">
        <f aca="false">IFERROR(__xludf.dummyfunction("""COMPUTED_VALUE"""),"Дмитриева ")</f>
        <v>Дмитриева</v>
      </c>
      <c r="B119" s="0" t="str">
        <f aca="false">IFERROR(__xludf.dummyfunction("""COMPUTED_VALUE"""),"Елизавета ")</f>
        <v>Елизавета</v>
      </c>
      <c r="C119" s="0" t="n">
        <f aca="false">IFERROR(__xludf.dummyfunction("""COMPUTED_VALUE"""),9)</f>
        <v>9</v>
      </c>
      <c r="D119" s="0" t="n">
        <f aca="false">IFERROR(__xludf.dummyfunction("""COMPUTED_VALUE"""),139)</f>
        <v>139</v>
      </c>
      <c r="E119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19" s="1" t="n">
        <f aca="false">TRUE()</f>
        <v>1</v>
      </c>
      <c r="G119" s="1" t="n">
        <f aca="false">TRUE()</f>
        <v>1</v>
      </c>
      <c r="H119" s="1" t="n">
        <f aca="false">TRUE()</f>
        <v>1</v>
      </c>
      <c r="I119" s="1" t="n">
        <f aca="false">TRUE()</f>
        <v>1</v>
      </c>
      <c r="J119" s="1" t="n">
        <f aca="false">TRUE()</f>
        <v>1</v>
      </c>
      <c r="K119" s="0" t="n">
        <f aca="false">IFERROR(__xludf.dummyfunction("""COMPUTED_VALUE"""),51)</f>
        <v>51</v>
      </c>
    </row>
    <row r="120" customFormat="false" ht="15.75" hidden="false" customHeight="false" outlineLevel="0" collapsed="false">
      <c r="A120" s="0" t="str">
        <f aca="false">IFERROR(__xludf.dummyfunction("""COMPUTED_VALUE"""),"Исаева")</f>
        <v>Исаева</v>
      </c>
      <c r="B120" s="0" t="str">
        <f aca="false">IFERROR(__xludf.dummyfunction("""COMPUTED_VALUE"""),"Анна")</f>
        <v>Анна</v>
      </c>
      <c r="C120" s="0" t="n">
        <f aca="false">IFERROR(__xludf.dummyfunction("""COMPUTED_VALUE"""),10)</f>
        <v>10</v>
      </c>
      <c r="D120" s="0" t="n">
        <f aca="false">IFERROR(__xludf.dummyfunction("""COMPUTED_VALUE"""),64)</f>
        <v>64</v>
      </c>
      <c r="E120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0" s="1" t="n">
        <f aca="false">TRUE()</f>
        <v>1</v>
      </c>
      <c r="G120" s="1" t="n">
        <f aca="false">TRUE()</f>
        <v>1</v>
      </c>
      <c r="H120" s="1" t="n">
        <f aca="false">FALSE()</f>
        <v>0</v>
      </c>
      <c r="I120" s="1" t="n">
        <f aca="false">FALSE()</f>
        <v>0</v>
      </c>
      <c r="J120" s="1" t="n">
        <f aca="false">FALSE()</f>
        <v>0</v>
      </c>
      <c r="K120" s="0" t="n">
        <f aca="false">IFERROR(__xludf.dummyfunction("""COMPUTED_VALUE"""),9)</f>
        <v>9</v>
      </c>
    </row>
    <row r="121" customFormat="false" ht="15.75" hidden="false" customHeight="false" outlineLevel="0" collapsed="false">
      <c r="A121" s="0" t="str">
        <f aca="false">IFERROR(__xludf.dummyfunction("""COMPUTED_VALUE"""),"Качанова")</f>
        <v>Качанова</v>
      </c>
      <c r="B121" s="0" t="str">
        <f aca="false">IFERROR(__xludf.dummyfunction("""COMPUTED_VALUE"""),"Софья")</f>
        <v>Софья</v>
      </c>
      <c r="C121" s="0" t="n">
        <f aca="false">IFERROR(__xludf.dummyfunction("""COMPUTED_VALUE"""),9)</f>
        <v>9</v>
      </c>
      <c r="D121" s="0" t="n">
        <f aca="false">IFERROR(__xludf.dummyfunction("""COMPUTED_VALUE"""),159)</f>
        <v>159</v>
      </c>
      <c r="E121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1" s="1" t="n">
        <f aca="false">TRUE()</f>
        <v>1</v>
      </c>
      <c r="G121" s="1" t="n">
        <f aca="false">TRUE()</f>
        <v>1</v>
      </c>
      <c r="H121" s="1" t="n">
        <f aca="false">FALSE()</f>
        <v>0</v>
      </c>
      <c r="I121" s="1" t="n">
        <f aca="false">FALSE()</f>
        <v>0</v>
      </c>
      <c r="J121" s="1" t="n">
        <f aca="false">FALSE()</f>
        <v>0</v>
      </c>
      <c r="K121" s="0" t="n">
        <f aca="false">IFERROR(__xludf.dummyfunction("""COMPUTED_VALUE"""),109)</f>
        <v>109</v>
      </c>
    </row>
    <row r="122" customFormat="false" ht="15.75" hidden="false" customHeight="false" outlineLevel="0" collapsed="false">
      <c r="A122" s="0" t="str">
        <f aca="false">IFERROR(__xludf.dummyfunction("""COMPUTED_VALUE"""),"Куприенко")</f>
        <v>Куприенко</v>
      </c>
      <c r="B122" s="0" t="str">
        <f aca="false">IFERROR(__xludf.dummyfunction("""COMPUTED_VALUE"""),"Яна")</f>
        <v>Яна</v>
      </c>
      <c r="C122" s="0" t="n">
        <f aca="false">IFERROR(__xludf.dummyfunction("""COMPUTED_VALUE"""),9)</f>
        <v>9</v>
      </c>
      <c r="D122" s="0" t="n">
        <f aca="false">IFERROR(__xludf.dummyfunction("""COMPUTED_VALUE"""),117)</f>
        <v>117</v>
      </c>
      <c r="E122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2" s="1" t="n">
        <f aca="false">TRUE()</f>
        <v>1</v>
      </c>
      <c r="G122" s="1" t="n">
        <f aca="false">TRUE()</f>
        <v>1</v>
      </c>
      <c r="H122" s="1" t="n">
        <f aca="false">TRUE()</f>
        <v>1</v>
      </c>
      <c r="I122" s="1" t="n">
        <f aca="false">TRUE()</f>
        <v>1</v>
      </c>
      <c r="J122" s="1" t="n">
        <f aca="false">TRUE()</f>
        <v>1</v>
      </c>
      <c r="K122" s="0" t="n">
        <f aca="false">IFERROR(__xludf.dummyfunction("""COMPUTED_VALUE"""),83)</f>
        <v>83</v>
      </c>
    </row>
    <row r="123" customFormat="false" ht="15.75" hidden="false" customHeight="false" outlineLevel="0" collapsed="false">
      <c r="A123" s="0" t="str">
        <f aca="false">IFERROR(__xludf.dummyfunction("""COMPUTED_VALUE"""),"Ладынская")</f>
        <v>Ладынская</v>
      </c>
      <c r="B123" s="0" t="str">
        <f aca="false">IFERROR(__xludf.dummyfunction("""COMPUTED_VALUE"""),"Дарья")</f>
        <v>Дарья</v>
      </c>
      <c r="C123" s="0" t="n">
        <f aca="false">IFERROR(__xludf.dummyfunction("""COMPUTED_VALUE"""),8)</f>
        <v>8</v>
      </c>
      <c r="D123" s="0" t="n">
        <f aca="false">IFERROR(__xludf.dummyfunction("""COMPUTED_VALUE"""),36)</f>
        <v>36</v>
      </c>
      <c r="E123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3" s="1" t="n">
        <f aca="false">TRUE()</f>
        <v>1</v>
      </c>
      <c r="G123" s="1" t="n">
        <f aca="false">TRUE()</f>
        <v>1</v>
      </c>
      <c r="H123" s="1" t="n">
        <f aca="false">TRUE()</f>
        <v>1</v>
      </c>
      <c r="I123" s="1" t="n">
        <f aca="false">TRUE()</f>
        <v>1</v>
      </c>
      <c r="J123" s="1" t="n">
        <f aca="false">TRUE()</f>
        <v>1</v>
      </c>
      <c r="K123" s="0" t="n">
        <f aca="false">IFERROR(__xludf.dummyfunction("""COMPUTED_VALUE"""),123)</f>
        <v>123</v>
      </c>
    </row>
    <row r="124" customFormat="false" ht="15.75" hidden="false" customHeight="false" outlineLevel="0" collapsed="false">
      <c r="A124" s="0" t="str">
        <f aca="false">IFERROR(__xludf.dummyfunction("""COMPUTED_VALUE"""),"Михель")</f>
        <v>Михель</v>
      </c>
      <c r="B124" s="0" t="str">
        <f aca="false">IFERROR(__xludf.dummyfunction("""COMPUTED_VALUE"""),"Сергей")</f>
        <v>Сергей</v>
      </c>
      <c r="C124" s="0" t="n">
        <f aca="false">IFERROR(__xludf.dummyfunction("""COMPUTED_VALUE"""),8)</f>
        <v>8</v>
      </c>
      <c r="D124" s="0" t="n">
        <f aca="false">IFERROR(__xludf.dummyfunction("""COMPUTED_VALUE"""),117)</f>
        <v>117</v>
      </c>
      <c r="E124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4" s="1" t="n">
        <f aca="false">FALSE()</f>
        <v>0</v>
      </c>
      <c r="G124" s="1" t="n">
        <f aca="false">FALSE()</f>
        <v>0</v>
      </c>
      <c r="H124" s="1" t="n">
        <f aca="false">TRUE()</f>
        <v>1</v>
      </c>
      <c r="I124" s="1" t="n">
        <f aca="false">TRUE()</f>
        <v>1</v>
      </c>
      <c r="J124" s="1" t="n">
        <f aca="false">TRUE()</f>
        <v>1</v>
      </c>
      <c r="K124" s="0" t="n">
        <f aca="false">IFERROR(__xludf.dummyfunction("""COMPUTED_VALUE"""),174)</f>
        <v>174</v>
      </c>
    </row>
    <row r="125" customFormat="false" ht="15.75" hidden="false" customHeight="false" outlineLevel="0" collapsed="false">
      <c r="A125" s="0" t="str">
        <f aca="false">IFERROR(__xludf.dummyfunction("""COMPUTED_VALUE"""),"Проворкина")</f>
        <v>Проворкина</v>
      </c>
      <c r="B125" s="0" t="str">
        <f aca="false">IFERROR(__xludf.dummyfunction("""COMPUTED_VALUE"""),"Анастасия")</f>
        <v>Анастасия</v>
      </c>
      <c r="C125" s="0" t="n">
        <f aca="false">IFERROR(__xludf.dummyfunction("""COMPUTED_VALUE"""),10)</f>
        <v>10</v>
      </c>
      <c r="D125" s="0" t="n">
        <f aca="false">IFERROR(__xludf.dummyfunction("""COMPUTED_VALUE"""),142)</f>
        <v>142</v>
      </c>
      <c r="E125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5" s="1" t="n">
        <f aca="false">TRUE()</f>
        <v>1</v>
      </c>
      <c r="G125" s="1" t="n">
        <f aca="false">TRUE()</f>
        <v>1</v>
      </c>
      <c r="H125" s="1" t="n">
        <f aca="false">TRUE()</f>
        <v>1</v>
      </c>
      <c r="I125" s="1" t="n">
        <f aca="false">TRUE()</f>
        <v>1</v>
      </c>
      <c r="J125" s="1" t="n">
        <f aca="false">TRUE()</f>
        <v>1</v>
      </c>
      <c r="K125" s="0" t="n">
        <f aca="false">IFERROR(__xludf.dummyfunction("""COMPUTED_VALUE"""),85)</f>
        <v>85</v>
      </c>
    </row>
    <row r="126" customFormat="false" ht="15.75" hidden="false" customHeight="false" outlineLevel="0" collapsed="false">
      <c r="A126" s="0" t="str">
        <f aca="false">IFERROR(__xludf.dummyfunction("""COMPUTED_VALUE"""),"Рождественская ")</f>
        <v>Рождественская</v>
      </c>
      <c r="B126" s="0" t="str">
        <f aca="false">IFERROR(__xludf.dummyfunction("""COMPUTED_VALUE"""),"Мария")</f>
        <v>Мария</v>
      </c>
      <c r="C126" s="0" t="n">
        <f aca="false">IFERROR(__xludf.dummyfunction("""COMPUTED_VALUE"""),10)</f>
        <v>10</v>
      </c>
      <c r="D126" s="0" t="n">
        <f aca="false">IFERROR(__xludf.dummyfunction("""COMPUTED_VALUE"""),117)</f>
        <v>117</v>
      </c>
      <c r="E126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6" s="1" t="n">
        <f aca="false">TRUE()</f>
        <v>1</v>
      </c>
      <c r="G126" s="1" t="n">
        <f aca="false">TRUE()</f>
        <v>1</v>
      </c>
      <c r="H126" s="1" t="n">
        <f aca="false">FALSE()</f>
        <v>0</v>
      </c>
      <c r="I126" s="1" t="n">
        <f aca="false">TRUE()</f>
        <v>1</v>
      </c>
      <c r="J126" s="1" t="n">
        <f aca="false">TRUE()</f>
        <v>1</v>
      </c>
      <c r="K126" s="0" t="n">
        <f aca="false">IFERROR(__xludf.dummyfunction("""COMPUTED_VALUE"""),17)</f>
        <v>17</v>
      </c>
    </row>
    <row r="127" customFormat="false" ht="15.75" hidden="false" customHeight="false" outlineLevel="0" collapsed="false">
      <c r="A127" s="0" t="str">
        <f aca="false">IFERROR(__xludf.dummyfunction("""COMPUTED_VALUE"""),"Савиных")</f>
        <v>Савиных</v>
      </c>
      <c r="B127" s="0" t="str">
        <f aca="false">IFERROR(__xludf.dummyfunction("""COMPUTED_VALUE"""),"Кристина")</f>
        <v>Кристина</v>
      </c>
      <c r="C127" s="0" t="n">
        <f aca="false">IFERROR(__xludf.dummyfunction("""COMPUTED_VALUE"""),9)</f>
        <v>9</v>
      </c>
      <c r="D127" s="0" t="n">
        <f aca="false">IFERROR(__xludf.dummyfunction("""COMPUTED_VALUE"""),139)</f>
        <v>139</v>
      </c>
      <c r="E127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7" s="1" t="n">
        <f aca="false">TRUE()</f>
        <v>1</v>
      </c>
      <c r="G127" s="1" t="n">
        <f aca="false">TRUE()</f>
        <v>1</v>
      </c>
      <c r="H127" s="1" t="n">
        <f aca="false">TRUE()</f>
        <v>1</v>
      </c>
      <c r="I127" s="1" t="n">
        <f aca="false">TRUE()</f>
        <v>1</v>
      </c>
      <c r="J127" s="1" t="n">
        <f aca="false">TRUE()</f>
        <v>1</v>
      </c>
      <c r="K127" s="0" t="n">
        <f aca="false">IFERROR(__xludf.dummyfunction("""COMPUTED_VALUE"""),148)</f>
        <v>148</v>
      </c>
    </row>
    <row r="128" customFormat="false" ht="15.75" hidden="false" customHeight="false" outlineLevel="0" collapsed="false">
      <c r="A128" s="0" t="str">
        <f aca="false">IFERROR(__xludf.dummyfunction("""COMPUTED_VALUE"""),"Сафронова")</f>
        <v>Сафронова</v>
      </c>
      <c r="B128" s="0" t="str">
        <f aca="false">IFERROR(__xludf.dummyfunction("""COMPUTED_VALUE"""),"Ирина")</f>
        <v>Ирина</v>
      </c>
      <c r="C128" s="0" t="n">
        <f aca="false">IFERROR(__xludf.dummyfunction("""COMPUTED_VALUE"""),10)</f>
        <v>10</v>
      </c>
      <c r="D128" s="0" t="n">
        <f aca="false">IFERROR(__xludf.dummyfunction("""COMPUTED_VALUE"""),26)</f>
        <v>26</v>
      </c>
      <c r="E128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8" s="1" t="n">
        <f aca="false">TRUE()</f>
        <v>1</v>
      </c>
      <c r="G128" s="1" t="n">
        <f aca="false">TRUE()</f>
        <v>1</v>
      </c>
      <c r="H128" s="1" t="n">
        <f aca="false">TRUE()</f>
        <v>1</v>
      </c>
      <c r="I128" s="1" t="n">
        <f aca="false">TRUE()</f>
        <v>1</v>
      </c>
      <c r="J128" s="1" t="n">
        <f aca="false">TRUE()</f>
        <v>1</v>
      </c>
      <c r="K128" s="0" t="n">
        <f aca="false">IFERROR(__xludf.dummyfunction("""COMPUTED_VALUE"""),116)</f>
        <v>116</v>
      </c>
    </row>
    <row r="129" customFormat="false" ht="15.75" hidden="false" customHeight="false" outlineLevel="0" collapsed="false">
      <c r="A129" s="0" t="str">
        <f aca="false">IFERROR(__xludf.dummyfunction("""COMPUTED_VALUE"""),"Суханова")</f>
        <v>Суханова</v>
      </c>
      <c r="B129" s="0" t="str">
        <f aca="false">IFERROR(__xludf.dummyfunction("""COMPUTED_VALUE"""),"Алёна ")</f>
        <v>Алёна</v>
      </c>
      <c r="C129" s="0" t="n">
        <f aca="false">IFERROR(__xludf.dummyfunction("""COMPUTED_VALUE"""),7)</f>
        <v>7</v>
      </c>
      <c r="D129" s="0" t="n">
        <f aca="false">IFERROR(__xludf.dummyfunction("""COMPUTED_VALUE"""),140)</f>
        <v>140</v>
      </c>
      <c r="E129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29" s="1" t="n">
        <f aca="false">TRUE()</f>
        <v>1</v>
      </c>
      <c r="G129" s="1" t="n">
        <f aca="false">TRUE()</f>
        <v>1</v>
      </c>
      <c r="H129" s="1" t="n">
        <f aca="false">FALSE()</f>
        <v>0</v>
      </c>
      <c r="I129" s="1" t="n">
        <f aca="false">TRUE()</f>
        <v>1</v>
      </c>
      <c r="J129" s="1" t="n">
        <f aca="false">FALSE()</f>
        <v>0</v>
      </c>
      <c r="K129" s="0" t="n">
        <f aca="false">IFERROR(__xludf.dummyfunction("""COMPUTED_VALUE"""),115)</f>
        <v>115</v>
      </c>
    </row>
    <row r="130" customFormat="false" ht="15.75" hidden="false" customHeight="false" outlineLevel="0" collapsed="false">
      <c r="A130" s="0" t="str">
        <f aca="false">IFERROR(__xludf.dummyfunction("""COMPUTED_VALUE"""),"Тепляшина ")</f>
        <v>Тепляшина</v>
      </c>
      <c r="B130" s="0" t="str">
        <f aca="false">IFERROR(__xludf.dummyfunction("""COMPUTED_VALUE"""),"Анастасия ")</f>
        <v>Анастасия</v>
      </c>
      <c r="C130" s="0" t="n">
        <f aca="false">IFERROR(__xludf.dummyfunction("""COMPUTED_VALUE"""),9)</f>
        <v>9</v>
      </c>
      <c r="D130" s="0" t="n">
        <f aca="false">IFERROR(__xludf.dummyfunction("""COMPUTED_VALUE"""),139)</f>
        <v>139</v>
      </c>
      <c r="E130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30" s="1" t="n">
        <f aca="false">TRUE()</f>
        <v>1</v>
      </c>
      <c r="G130" s="1" t="n">
        <f aca="false">TRUE()</f>
        <v>1</v>
      </c>
      <c r="H130" s="1" t="n">
        <f aca="false">TRUE()</f>
        <v>1</v>
      </c>
      <c r="I130" s="1" t="n">
        <f aca="false">TRUE()</f>
        <v>1</v>
      </c>
      <c r="J130" s="1" t="n">
        <f aca="false">TRUE()</f>
        <v>1</v>
      </c>
      <c r="K130" s="0" t="n">
        <f aca="false">IFERROR(__xludf.dummyfunction("""COMPUTED_VALUE"""),27)</f>
        <v>27</v>
      </c>
    </row>
    <row r="131" customFormat="false" ht="15.75" hidden="false" customHeight="false" outlineLevel="0" collapsed="false">
      <c r="A131" s="0" t="str">
        <f aca="false">IFERROR(__xludf.dummyfunction("""COMPUTED_VALUE"""),"Ткаченко")</f>
        <v>Ткаченко</v>
      </c>
      <c r="B131" s="0" t="str">
        <f aca="false">IFERROR(__xludf.dummyfunction("""COMPUTED_VALUE"""),"Юлия")</f>
        <v>Юлия</v>
      </c>
      <c r="C131" s="0" t="n">
        <f aca="false">IFERROR(__xludf.dummyfunction("""COMPUTED_VALUE"""),9)</f>
        <v>9</v>
      </c>
      <c r="D131" s="0" t="n">
        <f aca="false">IFERROR(__xludf.dummyfunction("""COMPUTED_VALUE"""),139)</f>
        <v>139</v>
      </c>
      <c r="E131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31" s="1" t="n">
        <f aca="false">TRUE()</f>
        <v>1</v>
      </c>
      <c r="G131" s="1" t="n">
        <f aca="false">TRUE()</f>
        <v>1</v>
      </c>
      <c r="H131" s="1" t="n">
        <f aca="false">TRUE()</f>
        <v>1</v>
      </c>
      <c r="I131" s="1" t="n">
        <f aca="false">TRUE()</f>
        <v>1</v>
      </c>
      <c r="J131" s="1" t="n">
        <f aca="false">TRUE()</f>
        <v>1</v>
      </c>
      <c r="K131" s="0" t="n">
        <f aca="false">IFERROR(__xludf.dummyfunction("""COMPUTED_VALUE"""),92)</f>
        <v>92</v>
      </c>
    </row>
    <row r="132" customFormat="false" ht="15.75" hidden="false" customHeight="false" outlineLevel="0" collapsed="false">
      <c r="A132" s="0" t="str">
        <f aca="false">IFERROR(__xludf.dummyfunction("""COMPUTED_VALUE"""),"Усова")</f>
        <v>Усова</v>
      </c>
      <c r="B132" s="0" t="str">
        <f aca="false">IFERROR(__xludf.dummyfunction("""COMPUTED_VALUE"""),"Вероника")</f>
        <v>Вероника</v>
      </c>
      <c r="C132" s="0" t="n">
        <f aca="false">IFERROR(__xludf.dummyfunction("""COMPUTED_VALUE"""),7)</f>
        <v>7</v>
      </c>
      <c r="D132" s="0" t="n">
        <f aca="false">IFERROR(__xludf.dummyfunction("""COMPUTED_VALUE"""),117)</f>
        <v>117</v>
      </c>
      <c r="E132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32" s="1" t="n">
        <f aca="false">TRUE()</f>
        <v>1</v>
      </c>
      <c r="G132" s="1" t="n">
        <f aca="false">TRUE()</f>
        <v>1</v>
      </c>
      <c r="H132" s="1" t="n">
        <f aca="false">TRUE()</f>
        <v>1</v>
      </c>
      <c r="I132" s="1" t="n">
        <f aca="false">TRUE()</f>
        <v>1</v>
      </c>
      <c r="J132" s="1" t="n">
        <f aca="false">TRUE()</f>
        <v>1</v>
      </c>
      <c r="K132" s="0" t="n">
        <f aca="false">IFERROR(__xludf.dummyfunction("""COMPUTED_VALUE"""),4)</f>
        <v>4</v>
      </c>
    </row>
    <row r="133" customFormat="false" ht="15.75" hidden="false" customHeight="false" outlineLevel="0" collapsed="false">
      <c r="A133" s="0" t="str">
        <f aca="false">IFERROR(__xludf.dummyfunction("""COMPUTED_VALUE"""),"Ходарина")</f>
        <v>Ходарина</v>
      </c>
      <c r="B133" s="0" t="str">
        <f aca="false">IFERROR(__xludf.dummyfunction("""COMPUTED_VALUE"""),"Алина")</f>
        <v>Алина</v>
      </c>
      <c r="C133" s="0" t="n">
        <f aca="false">IFERROR(__xludf.dummyfunction("""COMPUTED_VALUE"""),11)</f>
        <v>11</v>
      </c>
      <c r="D133" s="0" t="n">
        <f aca="false">IFERROR(__xludf.dummyfunction("""COMPUTED_VALUE"""),149)</f>
        <v>149</v>
      </c>
      <c r="E133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33" s="1" t="n">
        <f aca="false">FALSE()</f>
        <v>0</v>
      </c>
      <c r="G133" s="1" t="n">
        <f aca="false">FALSE()</f>
        <v>0</v>
      </c>
      <c r="H133" s="1" t="n">
        <f aca="false">TRUE()</f>
        <v>1</v>
      </c>
      <c r="I133" s="1" t="n">
        <f aca="false">TRUE()</f>
        <v>1</v>
      </c>
      <c r="J133" s="1" t="n">
        <f aca="false">FALSE()</f>
        <v>0</v>
      </c>
      <c r="K133" s="0" t="n">
        <f aca="false">IFERROR(__xludf.dummyfunction("""COMPUTED_VALUE"""),94)</f>
        <v>94</v>
      </c>
    </row>
    <row r="134" customFormat="false" ht="15.75" hidden="false" customHeight="false" outlineLevel="0" collapsed="false">
      <c r="A134" s="0" t="str">
        <f aca="false">IFERROR(__xludf.dummyfunction("""COMPUTED_VALUE"""),"Шаповал")</f>
        <v>Шаповал</v>
      </c>
      <c r="B134" s="0" t="str">
        <f aca="false">IFERROR(__xludf.dummyfunction("""COMPUTED_VALUE"""),"Денис")</f>
        <v>Денис</v>
      </c>
      <c r="C134" s="0" t="n">
        <f aca="false">IFERROR(__xludf.dummyfunction("""COMPUTED_VALUE"""),9)</f>
        <v>9</v>
      </c>
      <c r="D134" s="0" t="n">
        <f aca="false">IFERROR(__xludf.dummyfunction("""COMPUTED_VALUE"""),150)</f>
        <v>150</v>
      </c>
      <c r="E134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34" s="1" t="n">
        <f aca="false">TRUE()</f>
        <v>1</v>
      </c>
      <c r="G134" s="1" t="n">
        <f aca="false">TRUE()</f>
        <v>1</v>
      </c>
      <c r="H134" s="1" t="n">
        <f aca="false">TRUE()</f>
        <v>1</v>
      </c>
      <c r="I134" s="1" t="n">
        <f aca="false">TRUE()</f>
        <v>1</v>
      </c>
      <c r="J134" s="1" t="n">
        <f aca="false">TRUE()</f>
        <v>1</v>
      </c>
      <c r="K134" s="0" t="n">
        <f aca="false">IFERROR(__xludf.dummyfunction("""COMPUTED_VALUE"""),84)</f>
        <v>84</v>
      </c>
    </row>
    <row r="135" customFormat="false" ht="15.75" hidden="false" customHeight="false" outlineLevel="0" collapsed="false">
      <c r="A135" s="0" t="str">
        <f aca="false">IFERROR(__xludf.dummyfunction("""COMPUTED_VALUE"""),"Ячменёва")</f>
        <v>Ячменёва</v>
      </c>
      <c r="B135" s="0" t="str">
        <f aca="false">IFERROR(__xludf.dummyfunction("""COMPUTED_VALUE"""),"Василиса")</f>
        <v>Василиса</v>
      </c>
      <c r="C135" s="0" t="n">
        <f aca="false">IFERROR(__xludf.dummyfunction("""COMPUTED_VALUE"""),11)</f>
        <v>11</v>
      </c>
      <c r="D135" s="0" t="n">
        <f aca="false">IFERROR(__xludf.dummyfunction("""COMPUTED_VALUE"""),140)</f>
        <v>140</v>
      </c>
      <c r="E135" s="12" t="str">
        <f aca="false">IFERROR(__xludf.dummyfunction("""COMPUTED_VALUE"""),"Театр и кино втор. пол. XX века: теории и практики")</f>
        <v>Театр и кино втор. пол. XX века: теории и практики</v>
      </c>
      <c r="F135" s="1" t="n">
        <f aca="false">TRUE()</f>
        <v>1</v>
      </c>
      <c r="G135" s="1" t="n">
        <f aca="false">TRUE()</f>
        <v>1</v>
      </c>
      <c r="H135" s="1" t="n">
        <f aca="false">TRUE()</f>
        <v>1</v>
      </c>
      <c r="I135" s="1" t="n">
        <f aca="false">FALSE()</f>
        <v>0</v>
      </c>
      <c r="J135" s="1" t="n">
        <f aca="false">TRUE()</f>
        <v>1</v>
      </c>
      <c r="K135" s="0" t="n">
        <f aca="false">IFERROR(__xludf.dummyfunction("""COMPUTED_VALUE"""),77)</f>
        <v>77</v>
      </c>
    </row>
    <row r="136" customFormat="false" ht="15.75" hidden="false" customHeight="false" outlineLevel="0" collapsed="false">
      <c r="A136" s="0" t="str">
        <f aca="false">IFERROR(__xludf.dummyfunction("""COMPUTED_VALUE"""),"Калиниченко ")</f>
        <v>Калиниченко</v>
      </c>
      <c r="B136" s="0" t="str">
        <f aca="false">IFERROR(__xludf.dummyfunction("""COMPUTED_VALUE"""),"Арсений")</f>
        <v>Арсений</v>
      </c>
      <c r="C136" s="0" t="n">
        <f aca="false">IFERROR(__xludf.dummyfunction("""COMPUTED_VALUE"""),10)</f>
        <v>10</v>
      </c>
      <c r="D136" s="0" t="n">
        <f aca="false">IFERROR(__xludf.dummyfunction("""COMPUTED_VALUE"""),51)</f>
        <v>51</v>
      </c>
      <c r="E136" s="12" t="str">
        <f aca="false">IFERROR(__xludf.dummyfunction("""COMPUTED_VALUE"""),"Теория множеств")</f>
        <v>Теория множеств</v>
      </c>
      <c r="F136" s="1" t="n">
        <f aca="false">TRUE()</f>
        <v>1</v>
      </c>
      <c r="G136" s="1" t="n">
        <f aca="false">TRUE()</f>
        <v>1</v>
      </c>
      <c r="H136" s="1" t="n">
        <f aca="false">TRUE()</f>
        <v>1</v>
      </c>
      <c r="I136" s="1" t="n">
        <f aca="false">TRUE()</f>
        <v>1</v>
      </c>
      <c r="J136" s="1" t="n">
        <f aca="false">TRUE()</f>
        <v>1</v>
      </c>
      <c r="K136" s="0" t="n">
        <f aca="false">IFERROR(__xludf.dummyfunction("""COMPUTED_VALUE"""),16)</f>
        <v>16</v>
      </c>
    </row>
    <row r="137" customFormat="false" ht="15.75" hidden="false" customHeight="false" outlineLevel="0" collapsed="false">
      <c r="A137" s="0" t="str">
        <f aca="false">IFERROR(__xludf.dummyfunction("""COMPUTED_VALUE"""),"Климова ")</f>
        <v>Климова</v>
      </c>
      <c r="B137" s="0" t="str">
        <f aca="false">IFERROR(__xludf.dummyfunction("""COMPUTED_VALUE"""),"Анна")</f>
        <v>Анна</v>
      </c>
      <c r="C137" s="0" t="n">
        <f aca="false">IFERROR(__xludf.dummyfunction("""COMPUTED_VALUE"""),8)</f>
        <v>8</v>
      </c>
      <c r="D137" s="0" t="n">
        <f aca="false">IFERROR(__xludf.dummyfunction("""COMPUTED_VALUE"""),117)</f>
        <v>117</v>
      </c>
      <c r="E137" s="12" t="str">
        <f aca="false">IFERROR(__xludf.dummyfunction("""COMPUTED_VALUE"""),"Теория множеств")</f>
        <v>Теория множеств</v>
      </c>
      <c r="F137" s="1" t="n">
        <f aca="false">TRUE()</f>
        <v>1</v>
      </c>
      <c r="G137" s="1" t="n">
        <f aca="false">TRUE()</f>
        <v>1</v>
      </c>
      <c r="H137" s="1" t="n">
        <f aca="false">TRUE()</f>
        <v>1</v>
      </c>
      <c r="I137" s="1" t="n">
        <f aca="false">FALSE()</f>
        <v>0</v>
      </c>
      <c r="J137" s="1" t="n">
        <f aca="false">FALSE()</f>
        <v>0</v>
      </c>
      <c r="K137" s="0" t="n">
        <f aca="false">IFERROR(__xludf.dummyfunction("""COMPUTED_VALUE"""),154)</f>
        <v>154</v>
      </c>
    </row>
    <row r="138" customFormat="false" ht="15.75" hidden="false" customHeight="false" outlineLevel="0" collapsed="false">
      <c r="A138" s="0" t="str">
        <f aca="false">IFERROR(__xludf.dummyfunction("""COMPUTED_VALUE"""),"Крючков")</f>
        <v>Крючков</v>
      </c>
      <c r="B138" s="0" t="str">
        <f aca="false">IFERROR(__xludf.dummyfunction("""COMPUTED_VALUE"""),"Михаил")</f>
        <v>Михаил</v>
      </c>
      <c r="C138" s="0" t="n">
        <f aca="false">IFERROR(__xludf.dummyfunction("""COMPUTED_VALUE"""),8)</f>
        <v>8</v>
      </c>
      <c r="D138" s="0" t="n">
        <f aca="false">IFERROR(__xludf.dummyfunction("""COMPUTED_VALUE"""),66)</f>
        <v>66</v>
      </c>
      <c r="E138" s="12" t="str">
        <f aca="false">IFERROR(__xludf.dummyfunction("""COMPUTED_VALUE"""),"Теория множеств")</f>
        <v>Теория множеств</v>
      </c>
      <c r="F138" s="1" t="n">
        <f aca="false">TRUE()</f>
        <v>1</v>
      </c>
      <c r="G138" s="1" t="n">
        <f aca="false">TRUE()</f>
        <v>1</v>
      </c>
      <c r="H138" s="1" t="n">
        <f aca="false">TRUE()</f>
        <v>1</v>
      </c>
      <c r="I138" s="1" t="n">
        <f aca="false">TRUE()</f>
        <v>1</v>
      </c>
      <c r="J138" s="1" t="n">
        <f aca="false">TRUE()</f>
        <v>1</v>
      </c>
      <c r="K138" s="0" t="n">
        <f aca="false">IFERROR(__xludf.dummyfunction("""COMPUTED_VALUE"""),56)</f>
        <v>56</v>
      </c>
    </row>
    <row r="139" customFormat="false" ht="15.75" hidden="false" customHeight="false" outlineLevel="0" collapsed="false">
      <c r="A139" s="0" t="str">
        <f aca="false">IFERROR(__xludf.dummyfunction("""COMPUTED_VALUE"""),"Михайленко")</f>
        <v>Михайленко</v>
      </c>
      <c r="B139" s="0" t="str">
        <f aca="false">IFERROR(__xludf.dummyfunction("""COMPUTED_VALUE"""),"Владимир")</f>
        <v>Владимир</v>
      </c>
      <c r="C139" s="0" t="n">
        <f aca="false">IFERROR(__xludf.dummyfunction("""COMPUTED_VALUE"""),7)</f>
        <v>7</v>
      </c>
      <c r="D139" s="0" t="n">
        <f aca="false">IFERROR(__xludf.dummyfunction("""COMPUTED_VALUE"""),25)</f>
        <v>25</v>
      </c>
      <c r="E139" s="12" t="str">
        <f aca="false">IFERROR(__xludf.dummyfunction("""COMPUTED_VALUE"""),"Теория множеств")</f>
        <v>Теория множеств</v>
      </c>
      <c r="F139" s="1" t="n">
        <f aca="false">TRUE()</f>
        <v>1</v>
      </c>
      <c r="G139" s="1" t="n">
        <f aca="false">TRUE()</f>
        <v>1</v>
      </c>
      <c r="H139" s="1" t="n">
        <f aca="false">TRUE()</f>
        <v>1</v>
      </c>
      <c r="I139" s="1" t="n">
        <f aca="false">TRUE()</f>
        <v>1</v>
      </c>
      <c r="J139" s="1" t="n">
        <f aca="false">TRUE()</f>
        <v>1</v>
      </c>
      <c r="K139" s="0" t="n">
        <f aca="false">IFERROR(__xludf.dummyfunction("""COMPUTED_VALUE"""),104)</f>
        <v>104</v>
      </c>
    </row>
    <row r="140" customFormat="false" ht="15.75" hidden="false" customHeight="false" outlineLevel="0" collapsed="false">
      <c r="A140" s="0" t="str">
        <f aca="false">IFERROR(__xludf.dummyfunction("""COMPUTED_VALUE"""),"Панева")</f>
        <v>Панева</v>
      </c>
      <c r="B140" s="0" t="str">
        <f aca="false">IFERROR(__xludf.dummyfunction("""COMPUTED_VALUE"""),"Иляна ")</f>
        <v>Иляна</v>
      </c>
      <c r="C140" s="0" t="n">
        <f aca="false">IFERROR(__xludf.dummyfunction("""COMPUTED_VALUE"""),10)</f>
        <v>10</v>
      </c>
      <c r="D140" s="0" t="n">
        <f aca="false">IFERROR(__xludf.dummyfunction("""COMPUTED_VALUE"""),149)</f>
        <v>149</v>
      </c>
      <c r="E140" s="12" t="str">
        <f aca="false">IFERROR(__xludf.dummyfunction("""COMPUTED_VALUE"""),"Теория множеств")</f>
        <v>Теория множеств</v>
      </c>
      <c r="F140" s="1" t="n">
        <f aca="false">FALSE()</f>
        <v>0</v>
      </c>
      <c r="G140" s="1" t="n">
        <f aca="false">FALSE()</f>
        <v>0</v>
      </c>
      <c r="H140" s="1" t="n">
        <f aca="false">FALSE()</f>
        <v>0</v>
      </c>
      <c r="I140" s="1" t="n">
        <f aca="false">FALSE()</f>
        <v>0</v>
      </c>
      <c r="J140" s="1" t="n">
        <f aca="false">FALSE()</f>
        <v>0</v>
      </c>
      <c r="K140" s="0" t="n">
        <f aca="false">IFERROR(__xludf.dummyfunction("""COMPUTED_VALUE"""),128)</f>
        <v>128</v>
      </c>
    </row>
    <row r="141" customFormat="false" ht="15.75" hidden="false" customHeight="false" outlineLevel="0" collapsed="false">
      <c r="A141" s="0" t="str">
        <f aca="false">IFERROR(__xludf.dummyfunction("""COMPUTED_VALUE"""),"Перевальская")</f>
        <v>Перевальская</v>
      </c>
      <c r="B141" s="0" t="str">
        <f aca="false">IFERROR(__xludf.dummyfunction("""COMPUTED_VALUE"""),"Алена")</f>
        <v>Алена</v>
      </c>
      <c r="C141" s="0" t="n">
        <f aca="false">IFERROR(__xludf.dummyfunction("""COMPUTED_VALUE"""),8)</f>
        <v>8</v>
      </c>
      <c r="D141" s="0" t="n">
        <f aca="false">IFERROR(__xludf.dummyfunction("""COMPUTED_VALUE"""),117)</f>
        <v>117</v>
      </c>
      <c r="E141" s="12" t="str">
        <f aca="false">IFERROR(__xludf.dummyfunction("""COMPUTED_VALUE"""),"Теория множеств")</f>
        <v>Теория множеств</v>
      </c>
      <c r="F141" s="1" t="n">
        <f aca="false">TRUE()</f>
        <v>1</v>
      </c>
      <c r="G141" s="1" t="n">
        <f aca="false">TRUE()</f>
        <v>1</v>
      </c>
      <c r="H141" s="1" t="n">
        <f aca="false">TRUE()</f>
        <v>1</v>
      </c>
      <c r="I141" s="1" t="n">
        <f aca="false">FALSE()</f>
        <v>0</v>
      </c>
      <c r="J141" s="1" t="n">
        <f aca="false">FALSE()</f>
        <v>0</v>
      </c>
      <c r="K141" s="0" t="n">
        <f aca="false">IFERROR(__xludf.dummyfunction("""COMPUTED_VALUE"""),157)</f>
        <v>157</v>
      </c>
    </row>
    <row r="142" customFormat="false" ht="15.75" hidden="false" customHeight="false" outlineLevel="0" collapsed="false">
      <c r="A142" s="0" t="str">
        <f aca="false">IFERROR(__xludf.dummyfunction("""COMPUTED_VALUE"""),"Прохоров")</f>
        <v>Прохоров</v>
      </c>
      <c r="B142" s="0" t="str">
        <f aca="false">IFERROR(__xludf.dummyfunction("""COMPUTED_VALUE"""),"Сергей")</f>
        <v>Сергей</v>
      </c>
      <c r="C142" s="0" t="n">
        <f aca="false">IFERROR(__xludf.dummyfunction("""COMPUTED_VALUE"""),9)</f>
        <v>9</v>
      </c>
      <c r="D142" s="0" t="n">
        <f aca="false">IFERROR(__xludf.dummyfunction("""COMPUTED_VALUE"""),139)</f>
        <v>139</v>
      </c>
      <c r="E142" s="12" t="str">
        <f aca="false">IFERROR(__xludf.dummyfunction("""COMPUTED_VALUE"""),"Теория множеств")</f>
        <v>Теория множеств</v>
      </c>
      <c r="F142" s="1" t="n">
        <f aca="false">TRUE()</f>
        <v>1</v>
      </c>
      <c r="G142" s="1" t="n">
        <f aca="false">TRUE()</f>
        <v>1</v>
      </c>
      <c r="H142" s="1" t="n">
        <f aca="false">TRUE()</f>
        <v>1</v>
      </c>
      <c r="I142" s="1" t="n">
        <f aca="false">TRUE()</f>
        <v>1</v>
      </c>
      <c r="J142" s="1" t="n">
        <f aca="false">TRUE()</f>
        <v>1</v>
      </c>
      <c r="K142" s="0" t="n">
        <f aca="false">IFERROR(__xludf.dummyfunction("""COMPUTED_VALUE"""),47)</f>
        <v>47</v>
      </c>
    </row>
    <row r="143" customFormat="false" ht="15.75" hidden="false" customHeight="false" outlineLevel="0" collapsed="false">
      <c r="A143" s="0" t="str">
        <f aca="false">IFERROR(__xludf.dummyfunction("""COMPUTED_VALUE"""),"Фазуллина")</f>
        <v>Фазуллина</v>
      </c>
      <c r="B143" s="0" t="str">
        <f aca="false">IFERROR(__xludf.dummyfunction("""COMPUTED_VALUE"""),"Яна")</f>
        <v>Яна</v>
      </c>
      <c r="C143" s="0" t="n">
        <f aca="false">IFERROR(__xludf.dummyfunction("""COMPUTED_VALUE"""),7)</f>
        <v>7</v>
      </c>
      <c r="D143" s="0" t="n">
        <f aca="false">IFERROR(__xludf.dummyfunction("""COMPUTED_VALUE"""),149)</f>
        <v>149</v>
      </c>
      <c r="E143" s="12" t="str">
        <f aca="false">IFERROR(__xludf.dummyfunction("""COMPUTED_VALUE"""),"Теория множеств")</f>
        <v>Теория множеств</v>
      </c>
      <c r="F143" s="1" t="n">
        <f aca="false">FALSE()</f>
        <v>0</v>
      </c>
      <c r="G143" s="1" t="n">
        <f aca="false">FALSE()</f>
        <v>0</v>
      </c>
      <c r="H143" s="1" t="n">
        <f aca="false">FALSE()</f>
        <v>0</v>
      </c>
      <c r="I143" s="1" t="n">
        <f aca="false">FALSE()</f>
        <v>0</v>
      </c>
      <c r="J143" s="1" t="n">
        <f aca="false">FALSE()</f>
        <v>0</v>
      </c>
      <c r="K143" s="0" t="n">
        <f aca="false">IFERROR(__xludf.dummyfunction("""COMPUTED_VALUE"""),129)</f>
        <v>129</v>
      </c>
    </row>
    <row r="144" customFormat="false" ht="15.75" hidden="false" customHeight="false" outlineLevel="0" collapsed="false">
      <c r="A144" s="0" t="str">
        <f aca="false">IFERROR(__xludf.dummyfunction("""COMPUTED_VALUE"""),"Филиппенко")</f>
        <v>Филиппенко</v>
      </c>
      <c r="B144" s="0" t="str">
        <f aca="false">IFERROR(__xludf.dummyfunction("""COMPUTED_VALUE"""),"Лев")</f>
        <v>Лев</v>
      </c>
      <c r="C144" s="0" t="n">
        <f aca="false">IFERROR(__xludf.dummyfunction("""COMPUTED_VALUE"""),9)</f>
        <v>9</v>
      </c>
      <c r="D144" s="0" t="n">
        <f aca="false">IFERROR(__xludf.dummyfunction("""COMPUTED_VALUE"""),66)</f>
        <v>66</v>
      </c>
      <c r="E144" s="12" t="str">
        <f aca="false">IFERROR(__xludf.dummyfunction("""COMPUTED_VALUE"""),"Теория множеств")</f>
        <v>Теория множеств</v>
      </c>
      <c r="F144" s="1" t="n">
        <f aca="false">TRUE()</f>
        <v>1</v>
      </c>
      <c r="G144" s="1" t="n">
        <f aca="false">TRUE()</f>
        <v>1</v>
      </c>
      <c r="H144" s="1" t="n">
        <f aca="false">FALSE()</f>
        <v>0</v>
      </c>
      <c r="I144" s="1" t="n">
        <f aca="false">TRUE()</f>
        <v>1</v>
      </c>
      <c r="J144" s="1" t="n">
        <f aca="false">TRUE()</f>
        <v>1</v>
      </c>
      <c r="K144" s="0" t="n">
        <f aca="false">IFERROR(__xludf.dummyfunction("""COMPUTED_VALUE"""),176)</f>
        <v>176</v>
      </c>
    </row>
    <row r="145" customFormat="false" ht="15.75" hidden="false" customHeight="false" outlineLevel="0" collapsed="false">
      <c r="A145" s="0" t="str">
        <f aca="false">IFERROR(__xludf.dummyfunction("""COMPUTED_VALUE"""),"Шереш")</f>
        <v>Шереш</v>
      </c>
      <c r="B145" s="0" t="str">
        <f aca="false">IFERROR(__xludf.dummyfunction("""COMPUTED_VALUE"""),"Егор")</f>
        <v>Егор</v>
      </c>
      <c r="C145" s="0" t="n">
        <f aca="false">IFERROR(__xludf.dummyfunction("""COMPUTED_VALUE"""),9)</f>
        <v>9</v>
      </c>
      <c r="D145" s="0" t="n">
        <f aca="false">IFERROR(__xludf.dummyfunction("""COMPUTED_VALUE"""),149)</f>
        <v>149</v>
      </c>
      <c r="E145" s="12" t="str">
        <f aca="false">IFERROR(__xludf.dummyfunction("""COMPUTED_VALUE"""),"Теория множеств")</f>
        <v>Теория множеств</v>
      </c>
      <c r="F145" s="1" t="n">
        <f aca="false">FALSE()</f>
        <v>0</v>
      </c>
      <c r="G145" s="1" t="n">
        <f aca="false">TRUE()</f>
        <v>1</v>
      </c>
      <c r="H145" s="1" t="n">
        <f aca="false">FALSE()</f>
        <v>0</v>
      </c>
      <c r="I145" s="1" t="n">
        <f aca="false">FALSE()</f>
        <v>0</v>
      </c>
      <c r="J145" s="1" t="n">
        <f aca="false">FALSE()</f>
        <v>0</v>
      </c>
      <c r="K145" s="0" t="n">
        <f aca="false">IFERROR(__xludf.dummyfunction("""COMPUTED_VALUE"""),167)</f>
        <v>167</v>
      </c>
    </row>
    <row r="146" customFormat="false" ht="15.75" hidden="false" customHeight="false" outlineLevel="0" collapsed="false">
      <c r="A146" s="0" t="str">
        <f aca="false">IFERROR(__xludf.dummyfunction("""COMPUTED_VALUE"""),"Шипилова")</f>
        <v>Шипилова</v>
      </c>
      <c r="B146" s="0" t="str">
        <f aca="false">IFERROR(__xludf.dummyfunction("""COMPUTED_VALUE"""),"Екатерина")</f>
        <v>Екатерина</v>
      </c>
      <c r="C146" s="0" t="n">
        <f aca="false">IFERROR(__xludf.dummyfunction("""COMPUTED_VALUE"""),10)</f>
        <v>10</v>
      </c>
      <c r="D146" s="0" t="n">
        <f aca="false">IFERROR(__xludf.dummyfunction("""COMPUTED_VALUE"""),84)</f>
        <v>84</v>
      </c>
      <c r="E146" s="12" t="str">
        <f aca="false">IFERROR(__xludf.dummyfunction("""COMPUTED_VALUE"""),"Теория множеств")</f>
        <v>Теория множеств</v>
      </c>
      <c r="F146" s="1" t="n">
        <f aca="false">FALSE()</f>
        <v>0</v>
      </c>
      <c r="G146" s="1" t="n">
        <f aca="false">FALSE()</f>
        <v>0</v>
      </c>
      <c r="H146" s="1" t="n">
        <f aca="false">FALSE()</f>
        <v>0</v>
      </c>
      <c r="I146" s="1" t="n">
        <f aca="false">FALSE()</f>
        <v>0</v>
      </c>
      <c r="J146" s="1" t="n">
        <f aca="false">FALSE()</f>
        <v>0</v>
      </c>
      <c r="K146" s="0" t="n">
        <f aca="false">IFERROR(__xludf.dummyfunction("""COMPUTED_VALUE"""),169)</f>
        <v>169</v>
      </c>
    </row>
    <row r="147" customFormat="false" ht="15.75" hidden="false" customHeight="false" outlineLevel="0" collapsed="false">
      <c r="A147" s="0" t="str">
        <f aca="false">IFERROR(__xludf.dummyfunction("""COMPUTED_VALUE"""),"Бахмутский ")</f>
        <v>Бахмутский</v>
      </c>
      <c r="B147" s="0" t="str">
        <f aca="false">IFERROR(__xludf.dummyfunction("""COMPUTED_VALUE"""),"Андрей")</f>
        <v>Андрей</v>
      </c>
      <c r="C147" s="0" t="n">
        <f aca="false">IFERROR(__xludf.dummyfunction("""COMPUTED_VALUE"""),10)</f>
        <v>10</v>
      </c>
      <c r="D147" s="0" t="n">
        <f aca="false">IFERROR(__xludf.dummyfunction("""COMPUTED_VALUE"""),117)</f>
        <v>117</v>
      </c>
      <c r="E147" s="12" t="str">
        <f aca="false">IFERROR(__xludf.dummyfunction("""COMPUTED_VALUE"""),"Цифровая электроника")</f>
        <v>Цифровая электроника</v>
      </c>
      <c r="F147" s="1" t="n">
        <f aca="false">TRUE()</f>
        <v>1</v>
      </c>
      <c r="G147" s="1" t="n">
        <f aca="false">TRUE()</f>
        <v>1</v>
      </c>
      <c r="H147" s="1" t="n">
        <f aca="false">TRUE()</f>
        <v>1</v>
      </c>
      <c r="I147" s="1" t="n">
        <f aca="false">TRUE()</f>
        <v>1</v>
      </c>
      <c r="J147" s="1" t="n">
        <f aca="false">TRUE()</f>
        <v>1</v>
      </c>
      <c r="K147" s="0" t="n">
        <f aca="false">IFERROR(__xludf.dummyfunction("""COMPUTED_VALUE"""),96)</f>
        <v>96</v>
      </c>
    </row>
    <row r="148" customFormat="false" ht="15.75" hidden="false" customHeight="false" outlineLevel="0" collapsed="false">
      <c r="A148" s="0" t="str">
        <f aca="false">IFERROR(__xludf.dummyfunction("""COMPUTED_VALUE"""),"Божко")</f>
        <v>Божко</v>
      </c>
      <c r="B148" s="0" t="str">
        <f aca="false">IFERROR(__xludf.dummyfunction("""COMPUTED_VALUE"""),"Роман")</f>
        <v>Роман</v>
      </c>
      <c r="C148" s="0" t="n">
        <f aca="false">IFERROR(__xludf.dummyfunction("""COMPUTED_VALUE"""),9)</f>
        <v>9</v>
      </c>
      <c r="D148" s="0" t="n">
        <f aca="false">IFERROR(__xludf.dummyfunction("""COMPUTED_VALUE"""),149)</f>
        <v>149</v>
      </c>
      <c r="E148" s="12" t="str">
        <f aca="false">IFERROR(__xludf.dummyfunction("""COMPUTED_VALUE"""),"Цифровая электроника")</f>
        <v>Цифровая электроника</v>
      </c>
      <c r="F148" s="1" t="n">
        <f aca="false">FALSE()</f>
        <v>0</v>
      </c>
      <c r="G148" s="1" t="n">
        <f aca="false">TRUE()</f>
        <v>1</v>
      </c>
      <c r="H148" s="1" t="n">
        <f aca="false">TRUE()</f>
        <v>1</v>
      </c>
      <c r="I148" s="1" t="n">
        <f aca="false">TRUE()</f>
        <v>1</v>
      </c>
      <c r="J148" s="1" t="n">
        <f aca="false">TRUE()</f>
        <v>1</v>
      </c>
      <c r="K148" s="0" t="n">
        <f aca="false">IFERROR(__xludf.dummyfunction("""COMPUTED_VALUE"""),131)</f>
        <v>131</v>
      </c>
    </row>
    <row r="149" customFormat="false" ht="15.75" hidden="false" customHeight="false" outlineLevel="0" collapsed="false">
      <c r="A149" s="0" t="str">
        <f aca="false">IFERROR(__xludf.dummyfunction("""COMPUTED_VALUE"""),"Вольф")</f>
        <v>Вольф</v>
      </c>
      <c r="B149" s="0" t="str">
        <f aca="false">IFERROR(__xludf.dummyfunction("""COMPUTED_VALUE"""),"Екатерина")</f>
        <v>Екатерина</v>
      </c>
      <c r="C149" s="0" t="n">
        <f aca="false">IFERROR(__xludf.dummyfunction("""COMPUTED_VALUE"""),10)</f>
        <v>10</v>
      </c>
      <c r="D149" s="0" t="n">
        <f aca="false">IFERROR(__xludf.dummyfunction("""COMPUTED_VALUE"""),117)</f>
        <v>117</v>
      </c>
      <c r="E149" s="12" t="str">
        <f aca="false">IFERROR(__xludf.dummyfunction("""COMPUTED_VALUE"""),"Цифровая электроника")</f>
        <v>Цифровая электроника</v>
      </c>
      <c r="F149" s="1" t="n">
        <f aca="false">TRUE()</f>
        <v>1</v>
      </c>
      <c r="G149" s="1" t="n">
        <f aca="false">TRUE()</f>
        <v>1</v>
      </c>
      <c r="H149" s="1" t="n">
        <f aca="false">TRUE()</f>
        <v>1</v>
      </c>
      <c r="I149" s="1" t="n">
        <f aca="false">TRUE()</f>
        <v>1</v>
      </c>
      <c r="J149" s="1" t="n">
        <f aca="false">TRUE()</f>
        <v>1</v>
      </c>
      <c r="K149" s="0" t="n">
        <f aca="false">IFERROR(__xludf.dummyfunction("""COMPUTED_VALUE"""),98)</f>
        <v>98</v>
      </c>
    </row>
    <row r="150" customFormat="false" ht="15.75" hidden="false" customHeight="false" outlineLevel="0" collapsed="false">
      <c r="A150" s="0" t="str">
        <f aca="false">IFERROR(__xludf.dummyfunction("""COMPUTED_VALUE"""),"Гасилен")</f>
        <v>Гасилен</v>
      </c>
      <c r="B150" s="0" t="str">
        <f aca="false">IFERROR(__xludf.dummyfunction("""COMPUTED_VALUE"""),"Иван")</f>
        <v>Иван</v>
      </c>
      <c r="C150" s="0" t="n">
        <f aca="false">IFERROR(__xludf.dummyfunction("""COMPUTED_VALUE"""),9)</f>
        <v>9</v>
      </c>
      <c r="D150" s="0" t="n">
        <f aca="false">IFERROR(__xludf.dummyfunction("""COMPUTED_VALUE"""),117)</f>
        <v>117</v>
      </c>
      <c r="E150" s="12" t="str">
        <f aca="false">IFERROR(__xludf.dummyfunction("""COMPUTED_VALUE"""),"Цифровая электроника")</f>
        <v>Цифровая электроника</v>
      </c>
      <c r="F150" s="1" t="n">
        <f aca="false">TRUE()</f>
        <v>1</v>
      </c>
      <c r="G150" s="1" t="n">
        <f aca="false">TRUE()</f>
        <v>1</v>
      </c>
      <c r="H150" s="1" t="n">
        <f aca="false">TRUE()</f>
        <v>1</v>
      </c>
      <c r="I150" s="1" t="n">
        <f aca="false">TRUE()</f>
        <v>1</v>
      </c>
      <c r="J150" s="1" t="n">
        <f aca="false">TRUE()</f>
        <v>1</v>
      </c>
      <c r="K150" s="0" t="n">
        <f aca="false">IFERROR(__xludf.dummyfunction("""COMPUTED_VALUE"""),112)</f>
        <v>112</v>
      </c>
    </row>
    <row r="151" customFormat="false" ht="15.75" hidden="false" customHeight="false" outlineLevel="0" collapsed="false">
      <c r="A151" s="0" t="str">
        <f aca="false">IFERROR(__xludf.dummyfunction("""COMPUTED_VALUE"""),"Лощинин")</f>
        <v>Лощинин</v>
      </c>
      <c r="B151" s="0" t="str">
        <f aca="false">IFERROR(__xludf.dummyfunction("""COMPUTED_VALUE"""),"Олег")</f>
        <v>Олег</v>
      </c>
      <c r="C151" s="0" t="n">
        <f aca="false">IFERROR(__xludf.dummyfunction("""COMPUTED_VALUE"""),8)</f>
        <v>8</v>
      </c>
      <c r="D151" s="0" t="n">
        <f aca="false">IFERROR(__xludf.dummyfunction("""COMPUTED_VALUE"""),117)</f>
        <v>117</v>
      </c>
      <c r="E151" s="12" t="str">
        <f aca="false">IFERROR(__xludf.dummyfunction("""COMPUTED_VALUE"""),"Цифровая электроника")</f>
        <v>Цифровая электроника</v>
      </c>
      <c r="F151" s="1" t="n">
        <f aca="false">FALSE()</f>
        <v>0</v>
      </c>
      <c r="G151" s="1" t="n">
        <f aca="false">FALSE()</f>
        <v>0</v>
      </c>
      <c r="H151" s="1" t="n">
        <f aca="false">FALSE()</f>
        <v>0</v>
      </c>
      <c r="I151" s="1" t="n">
        <f aca="false">FALSE()</f>
        <v>0</v>
      </c>
      <c r="J151" s="1" t="n">
        <f aca="false">FALSE()</f>
        <v>0</v>
      </c>
      <c r="K151" s="0" t="n">
        <f aca="false">IFERROR(__xludf.dummyfunction("""COMPUTED_VALUE"""),152)</f>
        <v>152</v>
      </c>
    </row>
    <row r="152" customFormat="false" ht="15.75" hidden="false" customHeight="false" outlineLevel="0" collapsed="false">
      <c r="A152" s="0" t="str">
        <f aca="false">IFERROR(__xludf.dummyfunction("""COMPUTED_VALUE"""),"Мороз")</f>
        <v>Мороз</v>
      </c>
      <c r="B152" s="0" t="str">
        <f aca="false">IFERROR(__xludf.dummyfunction("""COMPUTED_VALUE"""),"Семён")</f>
        <v>Семён</v>
      </c>
      <c r="C152" s="0" t="n">
        <f aca="false">IFERROR(__xludf.dummyfunction("""COMPUTED_VALUE"""),9)</f>
        <v>9</v>
      </c>
      <c r="D152" s="0" t="n">
        <f aca="false">IFERROR(__xludf.dummyfunction("""COMPUTED_VALUE"""),117)</f>
        <v>117</v>
      </c>
      <c r="E152" s="12" t="str">
        <f aca="false">IFERROR(__xludf.dummyfunction("""COMPUTED_VALUE"""),"Цифровая электроника")</f>
        <v>Цифровая электроника</v>
      </c>
      <c r="F152" s="1" t="n">
        <f aca="false">TRUE()</f>
        <v>1</v>
      </c>
      <c r="G152" s="1" t="n">
        <f aca="false">TRUE()</f>
        <v>1</v>
      </c>
      <c r="H152" s="1" t="n">
        <f aca="false">TRUE()</f>
        <v>1</v>
      </c>
      <c r="I152" s="1" t="n">
        <f aca="false">TRUE()</f>
        <v>1</v>
      </c>
      <c r="J152" s="1" t="n">
        <f aca="false">TRUE()</f>
        <v>1</v>
      </c>
      <c r="K152" s="0" t="n">
        <f aca="false">IFERROR(__xludf.dummyfunction("""COMPUTED_VALUE"""),151)</f>
        <v>151</v>
      </c>
    </row>
    <row r="153" customFormat="false" ht="15.75" hidden="false" customHeight="false" outlineLevel="0" collapsed="false">
      <c r="A153" s="0" t="str">
        <f aca="false">IFERROR(__xludf.dummyfunction("""COMPUTED_VALUE"""),"Семенов")</f>
        <v>Семенов</v>
      </c>
      <c r="B153" s="0" t="str">
        <f aca="false">IFERROR(__xludf.dummyfunction("""COMPUTED_VALUE"""),"Егор")</f>
        <v>Егор</v>
      </c>
      <c r="C153" s="0" t="n">
        <f aca="false">IFERROR(__xludf.dummyfunction("""COMPUTED_VALUE"""),9)</f>
        <v>9</v>
      </c>
      <c r="D153" s="0" t="n">
        <f aca="false">IFERROR(__xludf.dummyfunction("""COMPUTED_VALUE"""),117)</f>
        <v>117</v>
      </c>
      <c r="E153" s="12" t="str">
        <f aca="false">IFERROR(__xludf.dummyfunction("""COMPUTED_VALUE"""),"Цифровая электроника")</f>
        <v>Цифровая электроника</v>
      </c>
      <c r="F153" s="1" t="n">
        <f aca="false">TRUE()</f>
        <v>1</v>
      </c>
      <c r="G153" s="1" t="n">
        <f aca="false">TRUE()</f>
        <v>1</v>
      </c>
      <c r="H153" s="1" t="n">
        <f aca="false">TRUE()</f>
        <v>1</v>
      </c>
      <c r="I153" s="1" t="n">
        <f aca="false">TRUE()</f>
        <v>1</v>
      </c>
      <c r="J153" s="1" t="n">
        <f aca="false">TRUE()</f>
        <v>1</v>
      </c>
      <c r="K153" s="0" t="n">
        <f aca="false">IFERROR(__xludf.dummyfunction("""COMPUTED_VALUE"""),150)</f>
        <v>150</v>
      </c>
    </row>
    <row r="154" customFormat="false" ht="15.75" hidden="false" customHeight="false" outlineLevel="0" collapsed="false">
      <c r="A154" s="0" t="str">
        <f aca="false">IFERROR(__xludf.dummyfunction("""COMPUTED_VALUE"""),"Стативка")</f>
        <v>Стативка</v>
      </c>
      <c r="B154" s="0" t="str">
        <f aca="false">IFERROR(__xludf.dummyfunction("""COMPUTED_VALUE"""),"Максим")</f>
        <v>Максим</v>
      </c>
      <c r="C154" s="0" t="n">
        <f aca="false">IFERROR(__xludf.dummyfunction("""COMPUTED_VALUE"""),7)</f>
        <v>7</v>
      </c>
      <c r="D154" s="0" t="n">
        <f aca="false">IFERROR(__xludf.dummyfunction("""COMPUTED_VALUE"""),117)</f>
        <v>117</v>
      </c>
      <c r="E154" s="12" t="str">
        <f aca="false">IFERROR(__xludf.dummyfunction("""COMPUTED_VALUE"""),"Цифровая электроника")</f>
        <v>Цифровая электроника</v>
      </c>
      <c r="F154" s="1" t="n">
        <f aca="false">FALSE()</f>
        <v>0</v>
      </c>
      <c r="G154" s="1" t="n">
        <f aca="false">FALSE()</f>
        <v>0</v>
      </c>
      <c r="H154" s="1" t="n">
        <f aca="false">FALSE()</f>
        <v>0</v>
      </c>
      <c r="I154" s="1" t="n">
        <f aca="false">FALSE()</f>
        <v>0</v>
      </c>
      <c r="J154" s="1" t="n">
        <f aca="false">FALSE()</f>
        <v>0</v>
      </c>
      <c r="K154" s="0" t="n">
        <f aca="false">IFERROR(__xludf.dummyfunction("""COMPUTED_VALUE"""),137)</f>
        <v>137</v>
      </c>
    </row>
    <row r="155" customFormat="false" ht="15.75" hidden="false" customHeight="false" outlineLevel="0" collapsed="false">
      <c r="E155" s="12"/>
      <c r="F155" s="1" t="n">
        <f aca="false">FALSE()</f>
        <v>0</v>
      </c>
      <c r="G155" s="1" t="n">
        <f aca="false">FALSE()</f>
        <v>0</v>
      </c>
      <c r="H155" s="1" t="n">
        <f aca="false">FALSE()</f>
        <v>0</v>
      </c>
      <c r="I155" s="1" t="n">
        <f aca="false">FALSE()</f>
        <v>0</v>
      </c>
      <c r="J155" s="1" t="n">
        <f aca="false">FALSE()</f>
        <v>0</v>
      </c>
      <c r="K155" s="0" t="n">
        <f aca="false">IFERROR(__xludf.dummyfunction("""COMPUTED_VALUE"""),177)</f>
        <v>177</v>
      </c>
    </row>
    <row r="156" customFormat="false" ht="15.75" hidden="false" customHeight="false" outlineLevel="0" collapsed="false">
      <c r="E156" s="12"/>
      <c r="F156" s="1" t="n">
        <f aca="false">FALSE()</f>
        <v>0</v>
      </c>
      <c r="G156" s="1" t="n">
        <f aca="false">FALSE()</f>
        <v>0</v>
      </c>
      <c r="H156" s="1" t="n">
        <f aca="false">FALSE()</f>
        <v>0</v>
      </c>
      <c r="I156" s="1" t="n">
        <f aca="false">FALSE()</f>
        <v>0</v>
      </c>
      <c r="J156" s="1" t="n">
        <f aca="false">FALSE()</f>
        <v>0</v>
      </c>
      <c r="K156" s="0" t="n">
        <f aca="false">IFERROR(__xludf.dummyfunction("""COMPUTED_VALUE"""),178)</f>
        <v>178</v>
      </c>
    </row>
    <row r="157" customFormat="false" ht="15.75" hidden="false" customHeight="false" outlineLevel="0" collapsed="false">
      <c r="E157" s="12"/>
      <c r="F157" s="1" t="n">
        <f aca="false">FALSE()</f>
        <v>0</v>
      </c>
      <c r="G157" s="1" t="n">
        <f aca="false">FALSE()</f>
        <v>0</v>
      </c>
      <c r="H157" s="1" t="n">
        <f aca="false">FALSE()</f>
        <v>0</v>
      </c>
      <c r="I157" s="1" t="n">
        <f aca="false">FALSE()</f>
        <v>0</v>
      </c>
      <c r="J157" s="1" t="n">
        <f aca="false">FALSE()</f>
        <v>0</v>
      </c>
      <c r="K157" s="0" t="n">
        <f aca="false">IFERROR(__xludf.dummyfunction("""COMPUTED_VALUE"""),179)</f>
        <v>179</v>
      </c>
    </row>
    <row r="158" customFormat="false" ht="15.75" hidden="false" customHeight="false" outlineLevel="0" collapsed="false">
      <c r="E158" s="12"/>
      <c r="F158" s="1" t="n">
        <f aca="false">FALSE()</f>
        <v>0</v>
      </c>
      <c r="G158" s="1" t="n">
        <f aca="false">FALSE()</f>
        <v>0</v>
      </c>
      <c r="H158" s="1" t="n">
        <f aca="false">FALSE()</f>
        <v>0</v>
      </c>
      <c r="I158" s="1" t="n">
        <f aca="false">FALSE()</f>
        <v>0</v>
      </c>
      <c r="J158" s="1" t="n">
        <f aca="false">FALSE()</f>
        <v>0</v>
      </c>
      <c r="K158" s="0" t="n">
        <f aca="false">IFERROR(__xludf.dummyfunction("""COMPUTED_VALUE"""),180)</f>
        <v>180</v>
      </c>
    </row>
    <row r="159" customFormat="false" ht="15.75" hidden="false" customHeight="false" outlineLevel="0" collapsed="false">
      <c r="E159" s="12"/>
      <c r="F159" s="1" t="n">
        <f aca="false">FALSE()</f>
        <v>0</v>
      </c>
      <c r="G159" s="1" t="n">
        <f aca="false">FALSE()</f>
        <v>0</v>
      </c>
      <c r="H159" s="1" t="n">
        <f aca="false">FALSE()</f>
        <v>0</v>
      </c>
      <c r="I159" s="1" t="n">
        <f aca="false">FALSE()</f>
        <v>0</v>
      </c>
      <c r="J159" s="1" t="n">
        <f aca="false">FALSE()</f>
        <v>0</v>
      </c>
      <c r="K159" s="0" t="n">
        <f aca="false">IFERROR(__xludf.dummyfunction("""COMPUTED_VALUE"""),181)</f>
        <v>181</v>
      </c>
    </row>
    <row r="160" customFormat="false" ht="15.75" hidden="false" customHeight="false" outlineLevel="0" collapsed="false">
      <c r="E160" s="12"/>
      <c r="F160" s="1" t="n">
        <f aca="false">FALSE()</f>
        <v>0</v>
      </c>
      <c r="G160" s="1" t="n">
        <f aca="false">FALSE()</f>
        <v>0</v>
      </c>
      <c r="H160" s="1" t="n">
        <f aca="false">FALSE()</f>
        <v>0</v>
      </c>
      <c r="I160" s="1" t="n">
        <f aca="false">FALSE()</f>
        <v>0</v>
      </c>
      <c r="J160" s="1" t="n">
        <f aca="false">FALSE()</f>
        <v>0</v>
      </c>
      <c r="K160" s="0" t="n">
        <f aca="false">IFERROR(__xludf.dummyfunction("""COMPUTED_VALUE"""),182)</f>
        <v>182</v>
      </c>
    </row>
    <row r="161" customFormat="false" ht="15.75" hidden="false" customHeight="false" outlineLevel="0" collapsed="false">
      <c r="E161" s="12"/>
      <c r="F161" s="1" t="n">
        <f aca="false">FALSE()</f>
        <v>0</v>
      </c>
      <c r="G161" s="1" t="n">
        <f aca="false">FALSE()</f>
        <v>0</v>
      </c>
      <c r="H161" s="1" t="n">
        <f aca="false">FALSE()</f>
        <v>0</v>
      </c>
      <c r="I161" s="1" t="n">
        <f aca="false">FALSE()</f>
        <v>0</v>
      </c>
      <c r="J161" s="1" t="n">
        <f aca="false">FALSE()</f>
        <v>0</v>
      </c>
      <c r="K161" s="0" t="n">
        <f aca="false">IFERROR(__xludf.dummyfunction("""COMPUTED_VALUE"""),183)</f>
        <v>183</v>
      </c>
    </row>
    <row r="162" customFormat="false" ht="15.75" hidden="false" customHeight="false" outlineLevel="0" collapsed="false">
      <c r="E162" s="12"/>
      <c r="F162" s="1" t="n">
        <f aca="false">FALSE()</f>
        <v>0</v>
      </c>
      <c r="G162" s="1" t="n">
        <f aca="false">FALSE()</f>
        <v>0</v>
      </c>
      <c r="H162" s="1" t="n">
        <f aca="false">FALSE()</f>
        <v>0</v>
      </c>
      <c r="I162" s="1" t="n">
        <f aca="false">FALSE()</f>
        <v>0</v>
      </c>
      <c r="J162" s="1" t="n">
        <f aca="false">FALSE()</f>
        <v>0</v>
      </c>
      <c r="K162" s="0" t="n">
        <f aca="false">IFERROR(__xludf.dummyfunction("""COMPUTED_VALUE"""),184)</f>
        <v>184</v>
      </c>
    </row>
    <row r="163" customFormat="false" ht="15.75" hidden="false" customHeight="false" outlineLevel="0" collapsed="false">
      <c r="E163" s="12"/>
      <c r="F163" s="1" t="n">
        <f aca="false">FALSE()</f>
        <v>0</v>
      </c>
      <c r="G163" s="1" t="n">
        <f aca="false">FALSE()</f>
        <v>0</v>
      </c>
      <c r="H163" s="1" t="n">
        <f aca="false">FALSE()</f>
        <v>0</v>
      </c>
      <c r="I163" s="1" t="n">
        <f aca="false">FALSE()</f>
        <v>0</v>
      </c>
      <c r="J163" s="1" t="n">
        <f aca="false">FALSE()</f>
        <v>0</v>
      </c>
      <c r="K163" s="0" t="n">
        <f aca="false">IFERROR(__xludf.dummyfunction("""COMPUTED_VALUE"""),185)</f>
        <v>185</v>
      </c>
    </row>
    <row r="164" customFormat="false" ht="15.75" hidden="false" customHeight="false" outlineLevel="0" collapsed="false">
      <c r="E164" s="12"/>
      <c r="F164" s="1" t="n">
        <f aca="false">FALSE()</f>
        <v>0</v>
      </c>
      <c r="G164" s="1" t="n">
        <f aca="false">FALSE()</f>
        <v>0</v>
      </c>
      <c r="H164" s="1" t="n">
        <f aca="false">FALSE()</f>
        <v>0</v>
      </c>
      <c r="I164" s="1" t="n">
        <f aca="false">FALSE()</f>
        <v>0</v>
      </c>
      <c r="J164" s="1" t="n">
        <f aca="false">FALSE()</f>
        <v>0</v>
      </c>
      <c r="K164" s="0" t="n">
        <f aca="false">IFERROR(__xludf.dummyfunction("""COMPUTED_VALUE"""),186)</f>
        <v>186</v>
      </c>
    </row>
    <row r="165" customFormat="false" ht="15.75" hidden="false" customHeight="false" outlineLevel="0" collapsed="false">
      <c r="E165" s="12"/>
      <c r="F165" s="1" t="n">
        <f aca="false">FALSE()</f>
        <v>0</v>
      </c>
      <c r="G165" s="1" t="n">
        <f aca="false">FALSE()</f>
        <v>0</v>
      </c>
      <c r="H165" s="1" t="n">
        <f aca="false">FALSE()</f>
        <v>0</v>
      </c>
      <c r="I165" s="1" t="n">
        <f aca="false">FALSE()</f>
        <v>0</v>
      </c>
      <c r="J165" s="1" t="n">
        <f aca="false">FALSE()</f>
        <v>0</v>
      </c>
      <c r="K165" s="0" t="n">
        <f aca="false">IFERROR(__xludf.dummyfunction("""COMPUTED_VALUE"""),187)</f>
        <v>187</v>
      </c>
    </row>
    <row r="166" customFormat="false" ht="15.75" hidden="false" customHeight="false" outlineLevel="0" collapsed="false">
      <c r="E166" s="12"/>
      <c r="F166" s="1" t="n">
        <f aca="false">FALSE()</f>
        <v>0</v>
      </c>
      <c r="G166" s="1" t="n">
        <f aca="false">FALSE()</f>
        <v>0</v>
      </c>
      <c r="H166" s="1" t="n">
        <f aca="false">FALSE()</f>
        <v>0</v>
      </c>
      <c r="I166" s="1" t="n">
        <f aca="false">FALSE()</f>
        <v>0</v>
      </c>
      <c r="J166" s="1" t="n">
        <f aca="false">FALSE()</f>
        <v>0</v>
      </c>
      <c r="K166" s="0" t="n">
        <f aca="false">IFERROR(__xludf.dummyfunction("""COMPUTED_VALUE"""),188)</f>
        <v>188</v>
      </c>
    </row>
    <row r="167" customFormat="false" ht="15.75" hidden="false" customHeight="false" outlineLevel="0" collapsed="false">
      <c r="E167" s="12"/>
      <c r="F167" s="1" t="n">
        <f aca="false">FALSE()</f>
        <v>0</v>
      </c>
      <c r="G167" s="1" t="n">
        <f aca="false">FALSE()</f>
        <v>0</v>
      </c>
      <c r="H167" s="1" t="n">
        <f aca="false">FALSE()</f>
        <v>0</v>
      </c>
      <c r="I167" s="1" t="n">
        <f aca="false">FALSE()</f>
        <v>0</v>
      </c>
      <c r="J167" s="1" t="n">
        <f aca="false">FALSE()</f>
        <v>0</v>
      </c>
      <c r="K167" s="0" t="n">
        <f aca="false">IFERROR(__xludf.dummyfunction("""COMPUTED_VALUE"""),189)</f>
        <v>189</v>
      </c>
    </row>
    <row r="168" customFormat="false" ht="15.75" hidden="false" customHeight="false" outlineLevel="0" collapsed="false">
      <c r="E168" s="12"/>
      <c r="F168" s="1" t="n">
        <f aca="false">FALSE()</f>
        <v>0</v>
      </c>
      <c r="G168" s="1" t="n">
        <f aca="false">FALSE()</f>
        <v>0</v>
      </c>
      <c r="H168" s="1" t="n">
        <f aca="false">FALSE()</f>
        <v>0</v>
      </c>
      <c r="I168" s="1" t="n">
        <f aca="false">FALSE()</f>
        <v>0</v>
      </c>
      <c r="J168" s="1" t="n">
        <f aca="false">FALSE()</f>
        <v>0</v>
      </c>
      <c r="K168" s="0" t="n">
        <f aca="false">IFERROR(__xludf.dummyfunction("""COMPUTED_VALUE"""),190)</f>
        <v>190</v>
      </c>
    </row>
    <row r="169" customFormat="false" ht="15.75" hidden="false" customHeight="false" outlineLevel="0" collapsed="false">
      <c r="E169" s="12"/>
      <c r="F169" s="1" t="n">
        <f aca="false">FALSE()</f>
        <v>0</v>
      </c>
      <c r="G169" s="1" t="n">
        <f aca="false">FALSE()</f>
        <v>0</v>
      </c>
      <c r="H169" s="1" t="n">
        <f aca="false">FALSE()</f>
        <v>0</v>
      </c>
      <c r="I169" s="1" t="n">
        <f aca="false">FALSE()</f>
        <v>0</v>
      </c>
      <c r="J169" s="1" t="n">
        <f aca="false">FALSE()</f>
        <v>0</v>
      </c>
      <c r="K169" s="0" t="n">
        <f aca="false">IFERROR(__xludf.dummyfunction("""COMPUTED_VALUE"""),191)</f>
        <v>191</v>
      </c>
    </row>
    <row r="170" customFormat="false" ht="15.75" hidden="false" customHeight="false" outlineLevel="0" collapsed="false">
      <c r="E170" s="12"/>
      <c r="F170" s="1" t="n">
        <f aca="false">FALSE()</f>
        <v>0</v>
      </c>
      <c r="G170" s="1" t="n">
        <f aca="false">FALSE()</f>
        <v>0</v>
      </c>
      <c r="H170" s="1" t="n">
        <f aca="false">FALSE()</f>
        <v>0</v>
      </c>
      <c r="I170" s="1" t="n">
        <f aca="false">FALSE()</f>
        <v>0</v>
      </c>
      <c r="J170" s="1" t="n">
        <f aca="false">FALSE()</f>
        <v>0</v>
      </c>
      <c r="K170" s="0" t="n">
        <f aca="false">IFERROR(__xludf.dummyfunction("""COMPUTED_VALUE"""),192)</f>
        <v>192</v>
      </c>
    </row>
    <row r="171" customFormat="false" ht="15.75" hidden="false" customHeight="false" outlineLevel="0" collapsed="false">
      <c r="E171" s="12"/>
      <c r="F171" s="1" t="n">
        <f aca="false">FALSE()</f>
        <v>0</v>
      </c>
      <c r="G171" s="1" t="n">
        <f aca="false">FALSE()</f>
        <v>0</v>
      </c>
      <c r="H171" s="1" t="n">
        <f aca="false">FALSE()</f>
        <v>0</v>
      </c>
      <c r="I171" s="1" t="n">
        <f aca="false">FALSE()</f>
        <v>0</v>
      </c>
      <c r="J171" s="1" t="n">
        <f aca="false">FALSE()</f>
        <v>0</v>
      </c>
      <c r="K171" s="0" t="n">
        <f aca="false">IFERROR(__xludf.dummyfunction("""COMPUTED_VALUE"""),193)</f>
        <v>193</v>
      </c>
    </row>
    <row r="172" customFormat="false" ht="15.75" hidden="false" customHeight="false" outlineLevel="0" collapsed="false">
      <c r="E172" s="12"/>
      <c r="F172" s="1" t="n">
        <f aca="false">FALSE()</f>
        <v>0</v>
      </c>
      <c r="G172" s="1" t="n">
        <f aca="false">FALSE()</f>
        <v>0</v>
      </c>
      <c r="H172" s="1" t="n">
        <f aca="false">FALSE()</f>
        <v>0</v>
      </c>
      <c r="I172" s="1" t="n">
        <f aca="false">FALSE()</f>
        <v>0</v>
      </c>
      <c r="J172" s="1" t="n">
        <f aca="false">FALSE()</f>
        <v>0</v>
      </c>
      <c r="K172" s="0" t="n">
        <f aca="false">IFERROR(__xludf.dummyfunction("""COMPUTED_VALUE"""),194)</f>
        <v>194</v>
      </c>
    </row>
    <row r="173" customFormat="false" ht="15.75" hidden="false" customHeight="false" outlineLevel="0" collapsed="false">
      <c r="E173" s="12"/>
      <c r="F173" s="1" t="n">
        <f aca="false">FALSE()</f>
        <v>0</v>
      </c>
      <c r="G173" s="1" t="n">
        <f aca="false">FALSE()</f>
        <v>0</v>
      </c>
      <c r="H173" s="1" t="n">
        <f aca="false">FALSE()</f>
        <v>0</v>
      </c>
      <c r="I173" s="1" t="n">
        <f aca="false">FALSE()</f>
        <v>0</v>
      </c>
      <c r="J173" s="1" t="n">
        <f aca="false">FALSE()</f>
        <v>0</v>
      </c>
      <c r="K173" s="0" t="n">
        <f aca="false">IFERROR(__xludf.dummyfunction("""COMPUTED_VALUE"""),195)</f>
        <v>195</v>
      </c>
    </row>
    <row r="174" customFormat="false" ht="15.75" hidden="false" customHeight="false" outlineLevel="0" collapsed="false">
      <c r="E174" s="12"/>
      <c r="F174" s="1" t="n">
        <f aca="false">FALSE()</f>
        <v>0</v>
      </c>
      <c r="G174" s="1" t="n">
        <f aca="false">FALSE()</f>
        <v>0</v>
      </c>
      <c r="H174" s="1" t="n">
        <f aca="false">FALSE()</f>
        <v>0</v>
      </c>
      <c r="I174" s="1" t="n">
        <f aca="false">FALSE()</f>
        <v>0</v>
      </c>
      <c r="J174" s="1" t="n">
        <f aca="false">FALSE()</f>
        <v>0</v>
      </c>
      <c r="K174" s="0" t="n">
        <f aca="false">IFERROR(__xludf.dummyfunction("""COMPUTED_VALUE"""),196)</f>
        <v>196</v>
      </c>
    </row>
    <row r="175" customFormat="false" ht="15.75" hidden="false" customHeight="false" outlineLevel="0" collapsed="false">
      <c r="E175" s="12"/>
      <c r="F175" s="1" t="n">
        <f aca="false">FALSE()</f>
        <v>0</v>
      </c>
      <c r="G175" s="1" t="n">
        <f aca="false">FALSE()</f>
        <v>0</v>
      </c>
      <c r="H175" s="1" t="n">
        <f aca="false">FALSE()</f>
        <v>0</v>
      </c>
      <c r="I175" s="1" t="n">
        <f aca="false">FALSE()</f>
        <v>0</v>
      </c>
      <c r="J175" s="1" t="n">
        <f aca="false">FALSE()</f>
        <v>0</v>
      </c>
      <c r="K175" s="0" t="n">
        <f aca="false">IFERROR(__xludf.dummyfunction("""COMPUTED_VALUE"""),197)</f>
        <v>197</v>
      </c>
    </row>
    <row r="176" customFormat="false" ht="15.75" hidden="false" customHeight="false" outlineLevel="0" collapsed="false">
      <c r="E176" s="12"/>
      <c r="F176" s="7"/>
      <c r="G176" s="7"/>
      <c r="H176" s="7"/>
      <c r="I176" s="7"/>
      <c r="J176" s="7"/>
      <c r="K176" s="0" t="n">
        <f aca="false">IFERROR(__xludf.dummyfunction("""COMPUTED_VALUE"""),198)</f>
        <v>198</v>
      </c>
    </row>
    <row r="177" customFormat="false" ht="15.75" hidden="false" customHeight="false" outlineLevel="0" collapsed="false">
      <c r="E177" s="12"/>
      <c r="K177" s="0" t="n">
        <f aca="false">IFERROR(__xludf.dummyfunction("""COMPUTED_VALUE"""),199)</f>
        <v>199</v>
      </c>
    </row>
    <row r="178" customFormat="false" ht="15.75" hidden="false" customHeight="false" outlineLevel="0" collapsed="false">
      <c r="E178" s="12"/>
      <c r="K178" s="0" t="n">
        <f aca="false">IFERROR(__xludf.dummyfunction("""COMPUTED_VALUE"""),200)</f>
        <v>200</v>
      </c>
    </row>
    <row r="179" customFormat="false" ht="15.75" hidden="false" customHeight="true" outlineLevel="0" collapsed="false">
      <c r="E179" s="12"/>
    </row>
    <row r="180" customFormat="false" ht="15.75" hidden="false" customHeight="true" outlineLevel="0" collapsed="false">
      <c r="E180" s="12"/>
    </row>
    <row r="181" customFormat="false" ht="15.75" hidden="false" customHeight="true" outlineLevel="0" collapsed="false">
      <c r="E181" s="12"/>
    </row>
    <row r="182" customFormat="false" ht="15.75" hidden="false" customHeight="true" outlineLevel="0" collapsed="false">
      <c r="E182" s="12"/>
    </row>
    <row r="183" customFormat="false" ht="15.75" hidden="false" customHeight="true" outlineLevel="0" collapsed="false">
      <c r="E183" s="12"/>
    </row>
    <row r="184" customFormat="false" ht="15.75" hidden="false" customHeight="true" outlineLevel="0" collapsed="false">
      <c r="E184" s="12"/>
    </row>
    <row r="185" customFormat="false" ht="15.75" hidden="false" customHeight="true" outlineLevel="0" collapsed="false">
      <c r="E185" s="12"/>
    </row>
    <row r="186" customFormat="false" ht="15.75" hidden="false" customHeight="true" outlineLevel="0" collapsed="false">
      <c r="E186" s="12"/>
    </row>
    <row r="187" customFormat="false" ht="15.75" hidden="false" customHeight="true" outlineLevel="0" collapsed="false">
      <c r="E187" s="12"/>
    </row>
    <row r="188" customFormat="false" ht="15.75" hidden="false" customHeight="true" outlineLevel="0" collapsed="false">
      <c r="E188" s="12"/>
    </row>
    <row r="189" customFormat="false" ht="15.75" hidden="false" customHeight="true" outlineLevel="0" collapsed="false">
      <c r="E189" s="12"/>
    </row>
    <row r="190" customFormat="false" ht="15.75" hidden="false" customHeight="true" outlineLevel="0" collapsed="false">
      <c r="E190" s="12"/>
    </row>
    <row r="191" customFormat="false" ht="15.75" hidden="false" customHeight="true" outlineLevel="0" collapsed="false">
      <c r="E191" s="12"/>
    </row>
    <row r="192" customFormat="false" ht="15.75" hidden="false" customHeight="true" outlineLevel="0" collapsed="false">
      <c r="E192" s="12"/>
    </row>
    <row r="193" customFormat="false" ht="15.75" hidden="false" customHeight="true" outlineLevel="0" collapsed="false">
      <c r="E193" s="12"/>
    </row>
    <row r="194" customFormat="false" ht="15.75" hidden="false" customHeight="true" outlineLevel="0" collapsed="false">
      <c r="E194" s="12"/>
    </row>
    <row r="195" customFormat="false" ht="15.75" hidden="false" customHeight="true" outlineLevel="0" collapsed="false">
      <c r="E195" s="12"/>
    </row>
    <row r="196" customFormat="false" ht="15.75" hidden="false" customHeight="true" outlineLevel="0" collapsed="false">
      <c r="E196" s="12"/>
    </row>
    <row r="197" customFormat="false" ht="15.75" hidden="false" customHeight="true" outlineLevel="0" collapsed="false">
      <c r="E197" s="12"/>
    </row>
    <row r="198" customFormat="false" ht="15.75" hidden="false" customHeight="true" outlineLevel="0" collapsed="false">
      <c r="E198" s="12"/>
    </row>
    <row r="199" customFormat="false" ht="15.75" hidden="false" customHeight="true" outlineLevel="0" collapsed="false">
      <c r="E199" s="12"/>
    </row>
    <row r="200" customFormat="false" ht="15.75" hidden="false" customHeight="true" outlineLevel="0" collapsed="false">
      <c r="E200" s="12"/>
    </row>
    <row r="201" customFormat="false" ht="15.75" hidden="false" customHeight="false" outlineLevel="0" collapsed="false">
      <c r="C201" s="1" t="s">
        <v>789</v>
      </c>
      <c r="F201" s="0" t="n">
        <f aca="false">COUNTIF(F2:F175,TRUE())</f>
        <v>102</v>
      </c>
      <c r="G201" s="0" t="n">
        <f aca="false">COUNTIF(G2:G175,TRUE())</f>
        <v>97</v>
      </c>
      <c r="H201" s="0" t="n">
        <f aca="false">COUNTIF(H2:H175,TRUE())</f>
        <v>86</v>
      </c>
      <c r="I201" s="0" t="n">
        <f aca="false">COUNTIF(I2:I175,TRUE())</f>
        <v>82</v>
      </c>
      <c r="J201" s="0" t="n">
        <f aca="false">COUNTIF(J2:J175,TRUE())</f>
        <v>62</v>
      </c>
    </row>
    <row r="202" customFormat="false" ht="15.75" hidden="false" customHeight="false" outlineLevel="0" collapsed="false">
      <c r="C202" s="1" t="s">
        <v>790</v>
      </c>
      <c r="F202" s="0" t="n">
        <f aca="false">COUNTA($A$2:$A$200)-F201</f>
        <v>51</v>
      </c>
      <c r="G202" s="0" t="n">
        <f aca="false">COUNTA($A$2:$A$200)-G201</f>
        <v>56</v>
      </c>
      <c r="H202" s="0" t="n">
        <f aca="false">COUNTA($A$2:$A$200)-H201</f>
        <v>67</v>
      </c>
      <c r="I202" s="0" t="n">
        <f aca="false">COUNTA($A$2:$A$200)-I201</f>
        <v>71</v>
      </c>
      <c r="J202" s="0" t="n">
        <f aca="false">COUNTA($A$2:$A$200)-J201</f>
        <v>91</v>
      </c>
    </row>
    <row r="204" customFormat="false" ht="15.75" hidden="false" customHeight="false" outlineLevel="0" collapsed="false">
      <c r="C204" s="1" t="s">
        <v>791</v>
      </c>
      <c r="F204" s="0" t="n">
        <f aca="false">IFERROR(__xludf.dummyfunction("COUNTIF(filter(F2:F175,$D$2:$D$175=117),TRUE)"),45)</f>
        <v>45</v>
      </c>
      <c r="G204" s="0" t="n">
        <f aca="false">IFERROR(__xludf.dummyfunction("COUNTIF(filter(G2:G175,$D$2:$D$175=117),TRUE)"),42)</f>
        <v>42</v>
      </c>
      <c r="H204" s="0" t="n">
        <f aca="false">IFERROR(__xludf.dummyfunction("COUNTIF(filter(H2:H175,$D$2:$D$175=117),TRUE)"),39)</f>
        <v>39</v>
      </c>
      <c r="I204" s="0" t="n">
        <f aca="false">IFERROR(__xludf.dummyfunction("COUNTIF(filter(I2:I175,$D$2:$D$175=117),TRUE)"),35)</f>
        <v>35</v>
      </c>
      <c r="J204" s="0" t="n">
        <f aca="false">IFERROR(__xludf.dummyfunction("COUNTIF(filter(J2:J175,$D$2:$D$175=117),TRUE)"),26)</f>
        <v>26</v>
      </c>
    </row>
    <row r="205" customFormat="false" ht="15.75" hidden="false" customHeight="false" outlineLevel="0" collapsed="false">
      <c r="C205" s="1" t="s">
        <v>792</v>
      </c>
      <c r="F205" s="0" t="n">
        <f aca="false">IFERROR(__xludf.dummyfunction("COUNTA(filter(A2:A175,$D$2:$D$175=117))-F204"),30)</f>
        <v>30</v>
      </c>
      <c r="G205" s="0" t="n">
        <f aca="false">IFERROR(__xludf.dummyfunction("COUNTA(filter(B2:B175,$D$2:$D$175=117))-G204"),33)</f>
        <v>33</v>
      </c>
      <c r="H205" s="0" t="n">
        <f aca="false">IFERROR(__xludf.dummyfunction("COUNTA(filter(C2:C175,$D$2:$D$175=117))-H204"),36)</f>
        <v>36</v>
      </c>
      <c r="I205" s="0" t="n">
        <f aca="false">IFERROR(__xludf.dummyfunction("COUNTA(filter(D2:D175,$D$2:$D$175=117))-I204"),40)</f>
        <v>40</v>
      </c>
      <c r="J205" s="0" t="n">
        <f aca="false">IFERROR(__xludf.dummyfunction("COUNTA(filter(E2:E175,$D$2:$D$175=117))-J204"),49)</f>
        <v>49</v>
      </c>
    </row>
  </sheetData>
  <conditionalFormatting sqref="M19">
    <cfRule type="cellIs" priority="2" operator="equal" aboveAverage="0" equalAverage="0" bottom="0" percent="0" rank="0" text="" dxfId="1">
      <formula>"Загружено"</formula>
    </cfRule>
  </conditionalFormatting>
  <conditionalFormatting sqref="M19">
    <cfRule type="cellIs" priority="3" operator="equal" aboveAverage="0" equalAverage="0" bottom="0" percent="0" rank="0" text="" dxfId="11">
      <formula>"Не загружено"</formula>
    </cfRule>
  </conditionalFormatting>
  <conditionalFormatting sqref="M19">
    <cfRule type="cellIs" priority="4" operator="equal" aboveAverage="0" equalAverage="0" bottom="0" percent="0" rank="0" text="" dxfId="0">
      <formula>"Пиздец"</formula>
    </cfRule>
  </conditionalFormatting>
  <conditionalFormatting sqref="E2:E200">
    <cfRule type="cellIs" priority="5" operator="equal" aboveAverage="0" equalAverage="0" bottom="0" percent="0" rank="0" text="" dxfId="4">
      <formula>"Введение в макроэкономику"</formula>
    </cfRule>
  </conditionalFormatting>
  <conditionalFormatting sqref="E2:E200">
    <cfRule type="cellIs" priority="6" operator="equal" aboveAverage="0" equalAverage="0" bottom="0" percent="0" rank="0" text="" dxfId="5">
      <formula>"Международное право"</formula>
    </cfRule>
  </conditionalFormatting>
  <conditionalFormatting sqref="E2:E200">
    <cfRule type="cellIs" priority="7" operator="equal" aboveAverage="0" equalAverage="0" bottom="0" percent="0" rank="0" text="" dxfId="1">
      <formula>"Мозговой штурм"</formula>
    </cfRule>
  </conditionalFormatting>
  <conditionalFormatting sqref="E2:E200">
    <cfRule type="cellIs" priority="8" operator="equal" aboveAverage="0" equalAverage="0" bottom="0" percent="0" rank="0" text="" dxfId="6">
      <formula>"Олимпиадная геометрия"</formula>
    </cfRule>
  </conditionalFormatting>
  <conditionalFormatting sqref="E2:E200">
    <cfRule type="cellIs" priority="9" operator="equal" aboveAverage="0" equalAverage="0" bottom="0" percent="0" rank="0" text="" dxfId="7">
      <formula>"Питон"</formula>
    </cfRule>
  </conditionalFormatting>
  <conditionalFormatting sqref="E2:E200">
    <cfRule type="cellIs" priority="10" operator="equal" aboveAverage="0" equalAverage="0" bottom="0" percent="0" rank="0" text="" dxfId="8">
      <formula>"Театр и кино втор. пол. XX века: теории и практики"</formula>
    </cfRule>
  </conditionalFormatting>
  <conditionalFormatting sqref="E2:E200">
    <cfRule type="cellIs" priority="11" operator="equal" aboveAverage="0" equalAverage="0" bottom="0" percent="0" rank="0" text="" dxfId="9">
      <formula>"Теория множеств"</formula>
    </cfRule>
  </conditionalFormatting>
  <conditionalFormatting sqref="E2:E200">
    <cfRule type="cellIs" priority="12" operator="equal" aboveAverage="0" equalAverage="0" bottom="0" percent="0" rank="0" text="" dxfId="10">
      <formula>"Цифровая электроника"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3" min="3" style="0" width="5.57"/>
    <col collapsed="false" customWidth="true" hidden="false" outlineLevel="0" max="4" min="4" style="0" width="7.14"/>
  </cols>
  <sheetData>
    <row r="1" customFormat="false" ht="15.75" hidden="false" customHeight="false" outlineLevel="0" collapsed="false">
      <c r="F1" s="33" t="n">
        <v>43661</v>
      </c>
      <c r="G1" s="33" t="n">
        <v>43662</v>
      </c>
      <c r="H1" s="33" t="n">
        <v>43663</v>
      </c>
      <c r="I1" s="33" t="n">
        <v>43664</v>
      </c>
      <c r="J1" s="33" t="n">
        <v>43665</v>
      </c>
    </row>
    <row r="2" customFormat="false" ht="15.75" hidden="false" customHeight="false" outlineLevel="0" collapsed="false">
      <c r="A2" s="0" t="str">
        <f aca="false">IFERROR(__xludf.dummyfunction("filter(SORT('Переформатированный ответ'!B2:E200,'Переформатированный ответ'!$L$2:$L$200,TRUE,'Переформатированный ответ'!$B$2:$B$200,TRUE),SORT('Переформатированный ответ'!O2:O200,'Переформатированный ответ'!$L$2:$L$200,TRUE,'Переформатированный ответ'!$B"&amp;"$2:$B$200,TRUE) &gt; -1,SORT('Переформатированный ответ'!L2:L200,'Переформатированный ответ'!$L$2:$L$200,TRUE,'Переформатированный ответ'!$B$2:$B$200,TRUE) &lt;&gt; ""Меня не будет в это время"")"),"Асаинов")</f>
        <v>Асаинов</v>
      </c>
      <c r="B2" s="0" t="str">
        <f aca="false">IFERROR(__xludf.dummyfunction("""COMPUTED_VALUE"""),"Дарий")</f>
        <v>Дарий</v>
      </c>
      <c r="C2" s="0" t="n">
        <f aca="false">IFERROR(__xludf.dummyfunction("""COMPUTED_VALUE"""),10)</f>
        <v>10</v>
      </c>
      <c r="D2" s="0" t="n">
        <f aca="false">IFERROR(__xludf.dummyfunction("""COMPUTED_VALUE"""),64)</f>
        <v>64</v>
      </c>
      <c r="E2" s="12" t="str">
        <f aca="false">IFERROR(__xludf.dummyfunction("filter(SORT('Переформатированный ответ'!L2:L200,'Переформатированный ответ'!$L$2:$L$200,TRUE,'Переформатированный ответ'!$B$2:$B$200,TRUE),SORT('Переформатированный ответ'!O2:O200,'Переформатированный ответ'!$L$2:$L$200,TRUE,'Переформатированный ответ'!$B"&amp;"$2:$B$200,TRUE) &gt; -1,SORT('Переформатированный ответ'!L2:L200,'Переформатированный ответ'!$L$2:$L$200,TRUE,'Переформатированный ответ'!$B$2:$B$200,TRUE) &lt;&gt; ""Меня не будет в это время"")"),"Анализ данных в биологии и IT")</f>
        <v>Анализ данных в биологии и IT</v>
      </c>
      <c r="F2" s="1" t="n">
        <f aca="false">TRUE()</f>
        <v>1</v>
      </c>
      <c r="G2" s="1" t="n">
        <f aca="false">TRUE()</f>
        <v>1</v>
      </c>
      <c r="H2" s="1" t="n">
        <f aca="false">FALSE()</f>
        <v>0</v>
      </c>
      <c r="I2" s="1" t="n">
        <f aca="false">FALSE()</f>
        <v>0</v>
      </c>
      <c r="J2" s="1" t="n">
        <f aca="false">FALSE()</f>
        <v>0</v>
      </c>
      <c r="K2" s="0" t="n">
        <f aca="false">IFERROR(__xludf.dummyfunction("filter(SORT(ARRAYFORMULA(row('Переформатированный ответ'!L2:L200)),'Переформатированный ответ'!$L$2:$L$200,TRUE,'Переформатированный ответ'!$B$2:$B$200,TRUE),SORT('Переформатированный ответ'!O2:O200,'Переформатированный ответ'!$L$2:$L$200,TRUE,'Переформат"&amp;"ированный ответ'!$B$2:$B$200,TRUE) &gt; -1,SORT('Переформатированный ответ'!L2:L200,'Переформатированный ответ'!$L$2:$L$200,TRUE,'Переформатированный ответ'!$B$2:$B$200,TRUE) &lt;&gt; ""Меня не будет в это время"")"),49)</f>
        <v>49</v>
      </c>
      <c r="O2" s="0" t="str">
        <f aca="false">IFERROR(__xludf.dummyfunction("UNIQUE(E2:E200)"),"Анализ данных в биологии и IT")</f>
        <v>Анализ данных в биологии и IT</v>
      </c>
    </row>
    <row r="3" customFormat="false" ht="15.75" hidden="false" customHeight="false" outlineLevel="0" collapsed="false">
      <c r="A3" s="0" t="str">
        <f aca="false">IFERROR(__xludf.dummyfunction("""COMPUTED_VALUE"""),"Бахмутский ")</f>
        <v>Бахмутский</v>
      </c>
      <c r="B3" s="0" t="str">
        <f aca="false">IFERROR(__xludf.dummyfunction("""COMPUTED_VALUE"""),"Андрей")</f>
        <v>Андрей</v>
      </c>
      <c r="C3" s="0" t="n">
        <f aca="false">IFERROR(__xludf.dummyfunction("""COMPUTED_VALUE"""),10)</f>
        <v>10</v>
      </c>
      <c r="D3" s="0" t="n">
        <f aca="false">IFERROR(__xludf.dummyfunction("""COMPUTED_VALUE"""),117)</f>
        <v>117</v>
      </c>
      <c r="E3" s="12" t="str">
        <f aca="false">IFERROR(__xludf.dummyfunction("""COMPUTED_VALUE"""),"Анализ данных в биологии и IT")</f>
        <v>Анализ данных в биологии и IT</v>
      </c>
      <c r="F3" s="1" t="n">
        <f aca="false">TRUE()</f>
        <v>1</v>
      </c>
      <c r="G3" s="1" t="n">
        <f aca="false">TRUE()</f>
        <v>1</v>
      </c>
      <c r="H3" s="1" t="n">
        <f aca="false">TRUE()</f>
        <v>1</v>
      </c>
      <c r="I3" s="1" t="n">
        <f aca="false">FALSE()</f>
        <v>0</v>
      </c>
      <c r="J3" s="1" t="n">
        <f aca="false">FALSE()</f>
        <v>0</v>
      </c>
      <c r="K3" s="0" t="n">
        <f aca="false">IFERROR(__xludf.dummyfunction("""COMPUTED_VALUE"""),96)</f>
        <v>96</v>
      </c>
      <c r="O3" s="0" t="str">
        <f aca="false">IFERROR(__xludf.dummyfunction("""COMPUTED_VALUE"""),"Введение в психосоматику")</f>
        <v>Введение в психосоматику</v>
      </c>
    </row>
    <row r="4" customFormat="false" ht="15.75" hidden="false" customHeight="false" outlineLevel="0" collapsed="false">
      <c r="A4" s="0" t="str">
        <f aca="false">IFERROR(__xludf.dummyfunction("""COMPUTED_VALUE"""),"Вольф")</f>
        <v>Вольф</v>
      </c>
      <c r="B4" s="0" t="str">
        <f aca="false">IFERROR(__xludf.dummyfunction("""COMPUTED_VALUE"""),"Екатерина")</f>
        <v>Екатерина</v>
      </c>
      <c r="C4" s="0" t="n">
        <f aca="false">IFERROR(__xludf.dummyfunction("""COMPUTED_VALUE"""),10)</f>
        <v>10</v>
      </c>
      <c r="D4" s="0" t="n">
        <f aca="false">IFERROR(__xludf.dummyfunction("""COMPUTED_VALUE"""),117)</f>
        <v>117</v>
      </c>
      <c r="E4" s="12" t="str">
        <f aca="false">IFERROR(__xludf.dummyfunction("""COMPUTED_VALUE"""),"Анализ данных в биологии и IT")</f>
        <v>Анализ данных в биологии и IT</v>
      </c>
      <c r="F4" s="1" t="n">
        <f aca="false">TRUE()</f>
        <v>1</v>
      </c>
      <c r="G4" s="1" t="n">
        <f aca="false">TRUE()</f>
        <v>1</v>
      </c>
      <c r="H4" s="1" t="n">
        <f aca="false">TRUE()</f>
        <v>1</v>
      </c>
      <c r="I4" s="1" t="n">
        <f aca="false">FALSE()</f>
        <v>0</v>
      </c>
      <c r="J4" s="1" t="n">
        <f aca="false">FALSE()</f>
        <v>0</v>
      </c>
      <c r="K4" s="0" t="n">
        <f aca="false">IFERROR(__xludf.dummyfunction("""COMPUTED_VALUE"""),98)</f>
        <v>98</v>
      </c>
      <c r="M4" s="34" t="s">
        <v>787</v>
      </c>
      <c r="O4" s="0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</row>
    <row r="5" customFormat="false" ht="15.75" hidden="false" customHeight="false" outlineLevel="0" collapsed="false">
      <c r="A5" s="0" t="str">
        <f aca="false">IFERROR(__xludf.dummyfunction("""COMPUTED_VALUE"""),"Галыба")</f>
        <v>Галыба</v>
      </c>
      <c r="B5" s="0" t="str">
        <f aca="false">IFERROR(__xludf.dummyfunction("""COMPUTED_VALUE"""),"Леонид")</f>
        <v>Леонид</v>
      </c>
      <c r="C5" s="0" t="n">
        <f aca="false">IFERROR(__xludf.dummyfunction("""COMPUTED_VALUE"""),10)</f>
        <v>10</v>
      </c>
      <c r="D5" s="0" t="n">
        <f aca="false">IFERROR(__xludf.dummyfunction("""COMPUTED_VALUE"""),117)</f>
        <v>117</v>
      </c>
      <c r="E5" s="12" t="str">
        <f aca="false">IFERROR(__xludf.dummyfunction("""COMPUTED_VALUE"""),"Анализ данных в биологии и IT")</f>
        <v>Анализ данных в биологии и IT</v>
      </c>
      <c r="F5" s="1" t="n">
        <f aca="false">FALSE()</f>
        <v>0</v>
      </c>
      <c r="G5" s="1" t="n">
        <f aca="false">FALSE()</f>
        <v>0</v>
      </c>
      <c r="H5" s="1" t="n">
        <f aca="false">FALSE()</f>
        <v>0</v>
      </c>
      <c r="I5" s="1" t="n">
        <f aca="false">FALSE()</f>
        <v>0</v>
      </c>
      <c r="J5" s="1" t="n">
        <f aca="false">FALSE()</f>
        <v>0</v>
      </c>
      <c r="K5" s="0" t="n">
        <f aca="false">IFERROR(__xludf.dummyfunction("""COMPUTED_VALUE"""),147)</f>
        <v>147</v>
      </c>
      <c r="O5" s="0" t="str">
        <f aca="false">IFERROR(__xludf.dummyfunction("""COMPUTED_VALUE"""),"Логистика акции по раздельному сбору отходов")</f>
        <v>Логистика акции по раздельному сбору отходов</v>
      </c>
    </row>
    <row r="6" customFormat="false" ht="15.75" hidden="false" customHeight="false" outlineLevel="0" collapsed="false">
      <c r="A6" s="0" t="str">
        <f aca="false">IFERROR(__xludf.dummyfunction("""COMPUTED_VALUE"""),"Дизер")</f>
        <v>Дизер</v>
      </c>
      <c r="B6" s="0" t="str">
        <f aca="false">IFERROR(__xludf.dummyfunction("""COMPUTED_VALUE"""),"Валерия")</f>
        <v>Валерия</v>
      </c>
      <c r="C6" s="0" t="n">
        <f aca="false">IFERROR(__xludf.dummyfunction("""COMPUTED_VALUE"""),8)</f>
        <v>8</v>
      </c>
      <c r="D6" s="0" t="n">
        <f aca="false">IFERROR(__xludf.dummyfunction("""COMPUTED_VALUE"""),117)</f>
        <v>117</v>
      </c>
      <c r="E6" s="12" t="str">
        <f aca="false">IFERROR(__xludf.dummyfunction("""COMPUTED_VALUE"""),"Анализ данных в биологии и IT")</f>
        <v>Анализ данных в биологии и IT</v>
      </c>
      <c r="F6" s="1" t="n">
        <f aca="false">FALSE()</f>
        <v>0</v>
      </c>
      <c r="G6" s="1" t="n">
        <f aca="false">FALSE()</f>
        <v>0</v>
      </c>
      <c r="H6" s="1" t="n">
        <f aca="false">FALSE()</f>
        <v>0</v>
      </c>
      <c r="I6" s="1" t="n">
        <f aca="false">FALSE()</f>
        <v>0</v>
      </c>
      <c r="J6" s="1" t="n">
        <f aca="false">FALSE()</f>
        <v>0</v>
      </c>
      <c r="K6" s="0" t="n">
        <f aca="false">IFERROR(__xludf.dummyfunction("""COMPUTED_VALUE"""),38)</f>
        <v>38</v>
      </c>
      <c r="O6" s="0" t="str">
        <f aca="false">IFERROR(__xludf.dummyfunction("""COMPUTED_VALUE"""),"Маркетинг")</f>
        <v>Маркетинг</v>
      </c>
    </row>
    <row r="7" customFormat="false" ht="15.75" hidden="false" customHeight="false" outlineLevel="0" collapsed="false">
      <c r="A7" s="0" t="str">
        <f aca="false">IFERROR(__xludf.dummyfunction("""COMPUTED_VALUE"""),"Зайцева")</f>
        <v>Зайцева</v>
      </c>
      <c r="B7" s="0" t="str">
        <f aca="false">IFERROR(__xludf.dummyfunction("""COMPUTED_VALUE"""),"Марина")</f>
        <v>Марина</v>
      </c>
      <c r="C7" s="0" t="n">
        <f aca="false">IFERROR(__xludf.dummyfunction("""COMPUTED_VALUE"""),9)</f>
        <v>9</v>
      </c>
      <c r="D7" s="0" t="n">
        <f aca="false">IFERROR(__xludf.dummyfunction("""COMPUTED_VALUE"""),149)</f>
        <v>149</v>
      </c>
      <c r="E7" s="12" t="str">
        <f aca="false">IFERROR(__xludf.dummyfunction("""COMPUTED_VALUE"""),"Анализ данных в биологии и IT")</f>
        <v>Анализ данных в биологии и IT</v>
      </c>
      <c r="F7" s="1" t="n">
        <f aca="false">TRUE()</f>
        <v>1</v>
      </c>
      <c r="G7" s="1" t="n">
        <f aca="false">TRUE()</f>
        <v>1</v>
      </c>
      <c r="H7" s="1" t="n">
        <f aca="false">TRUE()</f>
        <v>1</v>
      </c>
      <c r="I7" s="1" t="n">
        <f aca="false">FALSE()</f>
        <v>0</v>
      </c>
      <c r="J7" s="1" t="n">
        <f aca="false">FALSE()</f>
        <v>0</v>
      </c>
      <c r="K7" s="0" t="n">
        <f aca="false">IFERROR(__xludf.dummyfunction("""COMPUTED_VALUE"""),41)</f>
        <v>41</v>
      </c>
      <c r="O7" s="0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</row>
    <row r="8" customFormat="false" ht="15.75" hidden="false" customHeight="false" outlineLevel="0" collapsed="false">
      <c r="A8" s="0" t="str">
        <f aca="false">IFERROR(__xludf.dummyfunction("""COMPUTED_VALUE"""),"Измайлов")</f>
        <v>Измайлов</v>
      </c>
      <c r="B8" s="0" t="str">
        <f aca="false">IFERROR(__xludf.dummyfunction("""COMPUTED_VALUE"""),"Матвей")</f>
        <v>Матвей</v>
      </c>
      <c r="C8" s="0" t="n">
        <f aca="false">IFERROR(__xludf.dummyfunction("""COMPUTED_VALUE"""),10)</f>
        <v>10</v>
      </c>
      <c r="D8" s="0" t="n">
        <f aca="false">IFERROR(__xludf.dummyfunction("""COMPUTED_VALUE"""),64)</f>
        <v>64</v>
      </c>
      <c r="E8" s="12" t="str">
        <f aca="false">IFERROR(__xludf.dummyfunction("""COMPUTED_VALUE"""),"Анализ данных в биологии и IT")</f>
        <v>Анализ данных в биологии и IT</v>
      </c>
      <c r="F8" s="1" t="n">
        <f aca="false">TRUE()</f>
        <v>1</v>
      </c>
      <c r="G8" s="1" t="n">
        <f aca="false">TRUE()</f>
        <v>1</v>
      </c>
      <c r="H8" s="1" t="n">
        <f aca="false">TRUE()</f>
        <v>1</v>
      </c>
      <c r="I8" s="1" t="n">
        <f aca="false">FALSE()</f>
        <v>0</v>
      </c>
      <c r="J8" s="1" t="n">
        <f aca="false">FALSE()</f>
        <v>0</v>
      </c>
      <c r="K8" s="0" t="n">
        <f aca="false">IFERROR(__xludf.dummyfunction("""COMPUTED_VALUE"""),57)</f>
        <v>57</v>
      </c>
      <c r="O8" s="0" t="str">
        <f aca="false">IFERROR(__xludf.dummyfunction("""COMPUTED_VALUE"""),"Турнирная химия")</f>
        <v>Турнирная химия</v>
      </c>
    </row>
    <row r="9" customFormat="false" ht="15.75" hidden="false" customHeight="false" outlineLevel="0" collapsed="false">
      <c r="A9" s="0" t="str">
        <f aca="false">IFERROR(__xludf.dummyfunction("""COMPUTED_VALUE"""),"Калиниченко ")</f>
        <v>Калиниченко</v>
      </c>
      <c r="B9" s="0" t="str">
        <f aca="false">IFERROR(__xludf.dummyfunction("""COMPUTED_VALUE"""),"Арсений")</f>
        <v>Арсений</v>
      </c>
      <c r="C9" s="0" t="n">
        <f aca="false">IFERROR(__xludf.dummyfunction("""COMPUTED_VALUE"""),10)</f>
        <v>10</v>
      </c>
      <c r="D9" s="0" t="n">
        <f aca="false">IFERROR(__xludf.dummyfunction("""COMPUTED_VALUE"""),51)</f>
        <v>51</v>
      </c>
      <c r="E9" s="12" t="str">
        <f aca="false">IFERROR(__xludf.dummyfunction("""COMPUTED_VALUE"""),"Анализ данных в биологии и IT")</f>
        <v>Анализ данных в биологии и IT</v>
      </c>
      <c r="F9" s="1" t="n">
        <f aca="false">TRUE()</f>
        <v>1</v>
      </c>
      <c r="G9" s="1" t="n">
        <f aca="false">TRUE()</f>
        <v>1</v>
      </c>
      <c r="H9" s="1" t="n">
        <f aca="false">TRUE()</f>
        <v>1</v>
      </c>
      <c r="I9" s="1" t="n">
        <f aca="false">FALSE()</f>
        <v>0</v>
      </c>
      <c r="J9" s="1" t="n">
        <f aca="false">FALSE()</f>
        <v>0</v>
      </c>
      <c r="K9" s="0" t="n">
        <f aca="false">IFERROR(__xludf.dummyfunction("""COMPUTED_VALUE"""),16)</f>
        <v>16</v>
      </c>
      <c r="O9" s="0" t="str">
        <f aca="false">IFERROR(__xludf.dummyfunction("""COMPUTED_VALUE"""),"Физика. Лабораторный практикум")</f>
        <v>Физика. Лабораторный практикум</v>
      </c>
    </row>
    <row r="10" customFormat="false" ht="15.75" hidden="false" customHeight="false" outlineLevel="0" collapsed="false">
      <c r="A10" s="0" t="str">
        <f aca="false">IFERROR(__xludf.dummyfunction("""COMPUTED_VALUE"""),"Кошевая")</f>
        <v>Кошевая</v>
      </c>
      <c r="B10" s="0" t="str">
        <f aca="false">IFERROR(__xludf.dummyfunction("""COMPUTED_VALUE"""),"Анастасия")</f>
        <v>Анастасия</v>
      </c>
      <c r="C10" s="0" t="n">
        <f aca="false">IFERROR(__xludf.dummyfunction("""COMPUTED_VALUE"""),9)</f>
        <v>9</v>
      </c>
      <c r="D10" s="0" t="n">
        <f aca="false">IFERROR(__xludf.dummyfunction("""COMPUTED_VALUE"""),117)</f>
        <v>117</v>
      </c>
      <c r="E10" s="12" t="str">
        <f aca="false">IFERROR(__xludf.dummyfunction("""COMPUTED_VALUE"""),"Анализ данных в биологии и IT")</f>
        <v>Анализ данных в биологии и IT</v>
      </c>
      <c r="F10" s="1" t="n">
        <f aca="false">TRUE()</f>
        <v>1</v>
      </c>
      <c r="G10" s="1" t="n">
        <f aca="false">TRUE()</f>
        <v>1</v>
      </c>
      <c r="H10" s="1" t="n">
        <f aca="false">TRUE()</f>
        <v>1</v>
      </c>
      <c r="I10" s="1" t="n">
        <f aca="false">FALSE()</f>
        <v>0</v>
      </c>
      <c r="J10" s="1" t="n">
        <f aca="false">FALSE()</f>
        <v>0</v>
      </c>
      <c r="K10" s="0" t="n">
        <f aca="false">IFERROR(__xludf.dummyfunction("""COMPUTED_VALUE"""),86)</f>
        <v>86</v>
      </c>
      <c r="O10" s="0" t="str">
        <f aca="false">IFERROR(__xludf.dummyfunction("""COMPUTED_VALUE"""),"R: работа со структурой данных")</f>
        <v>R: работа со структурой данных</v>
      </c>
    </row>
    <row r="11" customFormat="false" ht="15.75" hidden="false" customHeight="false" outlineLevel="0" collapsed="false">
      <c r="A11" s="0" t="str">
        <f aca="false">IFERROR(__xludf.dummyfunction("""COMPUTED_VALUE"""),"Леонов")</f>
        <v>Леонов</v>
      </c>
      <c r="B11" s="0" t="str">
        <f aca="false">IFERROR(__xludf.dummyfunction("""COMPUTED_VALUE"""),"Иван")</f>
        <v>Иван</v>
      </c>
      <c r="C11" s="0" t="n">
        <f aca="false">IFERROR(__xludf.dummyfunction("""COMPUTED_VALUE"""),9)</f>
        <v>9</v>
      </c>
      <c r="D11" s="0" t="n">
        <f aca="false">IFERROR(__xludf.dummyfunction("""COMPUTED_VALUE"""),74)</f>
        <v>74</v>
      </c>
      <c r="E11" s="12" t="str">
        <f aca="false">IFERROR(__xludf.dummyfunction("""COMPUTED_VALUE"""),"Анализ данных в биологии и IT")</f>
        <v>Анализ данных в биологии и IT</v>
      </c>
      <c r="F11" s="1" t="n">
        <f aca="false">TRUE()</f>
        <v>1</v>
      </c>
      <c r="G11" s="1" t="n">
        <f aca="false">TRUE()</f>
        <v>1</v>
      </c>
      <c r="H11" s="1" t="n">
        <f aca="false">TRUE()</f>
        <v>1</v>
      </c>
      <c r="I11" s="1" t="n">
        <f aca="false">FALSE()</f>
        <v>0</v>
      </c>
      <c r="J11" s="1" t="n">
        <f aca="false">FALSE()</f>
        <v>0</v>
      </c>
      <c r="K11" s="0" t="n">
        <f aca="false">IFERROR(__xludf.dummyfunction("""COMPUTED_VALUE"""),161)</f>
        <v>161</v>
      </c>
    </row>
    <row r="12" customFormat="false" ht="15.75" hidden="false" customHeight="false" outlineLevel="0" collapsed="false">
      <c r="A12" s="0" t="str">
        <f aca="false">IFERROR(__xludf.dummyfunction("""COMPUTED_VALUE"""),"Мукушева")</f>
        <v>Мукушева</v>
      </c>
      <c r="B12" s="0" t="str">
        <f aca="false">IFERROR(__xludf.dummyfunction("""COMPUTED_VALUE"""),"Рамина")</f>
        <v>Рамина</v>
      </c>
      <c r="C12" s="0" t="n">
        <f aca="false">IFERROR(__xludf.dummyfunction("""COMPUTED_VALUE"""),8)</f>
        <v>8</v>
      </c>
      <c r="D12" s="0" t="n">
        <f aca="false">IFERROR(__xludf.dummyfunction("""COMPUTED_VALUE"""),146)</f>
        <v>146</v>
      </c>
      <c r="E12" s="12" t="str">
        <f aca="false">IFERROR(__xludf.dummyfunction("""COMPUTED_VALUE"""),"Анализ данных в биологии и IT")</f>
        <v>Анализ данных в биологии и IT</v>
      </c>
      <c r="F12" s="1" t="n">
        <f aca="false">TRUE()</f>
        <v>1</v>
      </c>
      <c r="G12" s="1" t="n">
        <f aca="false">TRUE()</f>
        <v>1</v>
      </c>
      <c r="H12" s="1" t="n">
        <f aca="false">TRUE()</f>
        <v>1</v>
      </c>
      <c r="I12" s="1" t="n">
        <f aca="false">FALSE()</f>
        <v>0</v>
      </c>
      <c r="J12" s="1" t="n">
        <f aca="false">FALSE()</f>
        <v>0</v>
      </c>
      <c r="K12" s="0" t="n">
        <f aca="false">IFERROR(__xludf.dummyfunction("""COMPUTED_VALUE"""),145)</f>
        <v>145</v>
      </c>
      <c r="M12" s="34" t="s">
        <v>788</v>
      </c>
    </row>
    <row r="13" customFormat="false" ht="15.75" hidden="false" customHeight="false" outlineLevel="0" collapsed="false">
      <c r="A13" s="0" t="str">
        <f aca="false">IFERROR(__xludf.dummyfunction("""COMPUTED_VALUE"""),"Никифоров")</f>
        <v>Никифоров</v>
      </c>
      <c r="B13" s="0" t="str">
        <f aca="false">IFERROR(__xludf.dummyfunction("""COMPUTED_VALUE"""),"Лука")</f>
        <v>Лука</v>
      </c>
      <c r="C13" s="0" t="n">
        <f aca="false">IFERROR(__xludf.dummyfunction("""COMPUTED_VALUE"""),10)</f>
        <v>10</v>
      </c>
      <c r="D13" s="0" t="n">
        <f aca="false">IFERROR(__xludf.dummyfunction("""COMPUTED_VALUE"""),64)</f>
        <v>64</v>
      </c>
      <c r="E13" s="12" t="str">
        <f aca="false">IFERROR(__xludf.dummyfunction("""COMPUTED_VALUE"""),"Анализ данных в биологии и IT")</f>
        <v>Анализ данных в биологии и IT</v>
      </c>
      <c r="F13" s="1" t="n">
        <f aca="false">TRUE()</f>
        <v>1</v>
      </c>
      <c r="G13" s="1" t="n">
        <f aca="false">TRUE()</f>
        <v>1</v>
      </c>
      <c r="H13" s="1" t="n">
        <f aca="false">TRUE()</f>
        <v>1</v>
      </c>
      <c r="I13" s="1" t="n">
        <f aca="false">FALSE()</f>
        <v>0</v>
      </c>
      <c r="J13" s="1" t="n">
        <f aca="false">FALSE()</f>
        <v>0</v>
      </c>
      <c r="K13" s="0" t="n">
        <f aca="false">IFERROR(__xludf.dummyfunction("""COMPUTED_VALUE"""),5)</f>
        <v>5</v>
      </c>
    </row>
    <row r="14" customFormat="false" ht="15.75" hidden="false" customHeight="false" outlineLevel="0" collapsed="false">
      <c r="A14" s="0" t="str">
        <f aca="false">IFERROR(__xludf.dummyfunction("""COMPUTED_VALUE"""),"Протченко")</f>
        <v>Протченко</v>
      </c>
      <c r="B14" s="0" t="str">
        <f aca="false">IFERROR(__xludf.dummyfunction("""COMPUTED_VALUE"""),"Анастасия")</f>
        <v>Анастасия</v>
      </c>
      <c r="C14" s="0" t="n">
        <f aca="false">IFERROR(__xludf.dummyfunction("""COMPUTED_VALUE"""),9)</f>
        <v>9</v>
      </c>
      <c r="D14" s="0" t="n">
        <f aca="false">IFERROR(__xludf.dummyfunction("""COMPUTED_VALUE"""),17)</f>
        <v>17</v>
      </c>
      <c r="E14" s="12" t="str">
        <f aca="false">IFERROR(__xludf.dummyfunction("""COMPUTED_VALUE"""),"Анализ данных в биологии и IT")</f>
        <v>Анализ данных в биологии и IT</v>
      </c>
      <c r="F14" s="1" t="n">
        <f aca="false">FALSE()</f>
        <v>0</v>
      </c>
      <c r="G14" s="1" t="n">
        <f aca="false">FALSE()</f>
        <v>0</v>
      </c>
      <c r="H14" s="1" t="n">
        <f aca="false">FALSE()</f>
        <v>0</v>
      </c>
      <c r="I14" s="1" t="n">
        <f aca="false">FALSE()</f>
        <v>0</v>
      </c>
      <c r="J14" s="1" t="n">
        <f aca="false">FALSE()</f>
        <v>0</v>
      </c>
      <c r="K14" s="0" t="n">
        <f aca="false">IFERROR(__xludf.dummyfunction("""COMPUTED_VALUE"""),159)</f>
        <v>159</v>
      </c>
    </row>
    <row r="15" customFormat="false" ht="15.75" hidden="false" customHeight="false" outlineLevel="0" collapsed="false">
      <c r="A15" s="0" t="str">
        <f aca="false">IFERROR(__xludf.dummyfunction("""COMPUTED_VALUE"""),"Рейсер")</f>
        <v>Рейсер</v>
      </c>
      <c r="B15" s="0" t="str">
        <f aca="false">IFERROR(__xludf.dummyfunction("""COMPUTED_VALUE"""),"Анастасия")</f>
        <v>Анастасия</v>
      </c>
      <c r="C15" s="0" t="n">
        <f aca="false">IFERROR(__xludf.dummyfunction("""COMPUTED_VALUE"""),7)</f>
        <v>7</v>
      </c>
      <c r="D15" s="0" t="n">
        <f aca="false">IFERROR(__xludf.dummyfunction("""COMPUTED_VALUE"""),117)</f>
        <v>117</v>
      </c>
      <c r="E15" s="12" t="str">
        <f aca="false">IFERROR(__xludf.dummyfunction("""COMPUTED_VALUE"""),"Анализ данных в биологии и IT")</f>
        <v>Анализ данных в биологии и IT</v>
      </c>
      <c r="F15" s="1" t="n">
        <f aca="false">FALSE()</f>
        <v>0</v>
      </c>
      <c r="G15" s="1" t="n">
        <f aca="false">FALSE()</f>
        <v>0</v>
      </c>
      <c r="H15" s="1" t="n">
        <f aca="false">FALSE()</f>
        <v>0</v>
      </c>
      <c r="I15" s="1" t="n">
        <f aca="false">FALSE()</f>
        <v>0</v>
      </c>
      <c r="J15" s="1" t="n">
        <f aca="false">FALSE()</f>
        <v>0</v>
      </c>
      <c r="K15" s="0" t="n">
        <f aca="false">IFERROR(__xludf.dummyfunction("""COMPUTED_VALUE"""),138)</f>
        <v>138</v>
      </c>
    </row>
    <row r="16" customFormat="false" ht="15.75" hidden="false" customHeight="false" outlineLevel="0" collapsed="false">
      <c r="A16" s="0" t="str">
        <f aca="false">IFERROR(__xludf.dummyfunction("""COMPUTED_VALUE"""),"Степанов")</f>
        <v>Степанов</v>
      </c>
      <c r="B16" s="0" t="str">
        <f aca="false">IFERROR(__xludf.dummyfunction("""COMPUTED_VALUE"""),"Михаил")</f>
        <v>Михаил</v>
      </c>
      <c r="C16" s="0" t="n">
        <f aca="false">IFERROR(__xludf.dummyfunction("""COMPUTED_VALUE"""),7)</f>
        <v>7</v>
      </c>
      <c r="D16" s="0" t="n">
        <f aca="false">IFERROR(__xludf.dummyfunction("""COMPUTED_VALUE"""),117)</f>
        <v>117</v>
      </c>
      <c r="E16" s="12" t="str">
        <f aca="false">IFERROR(__xludf.dummyfunction("""COMPUTED_VALUE"""),"Анализ данных в биологии и IT")</f>
        <v>Анализ данных в биологии и IT</v>
      </c>
      <c r="F16" s="1" t="n">
        <f aca="false">TRUE()</f>
        <v>1</v>
      </c>
      <c r="G16" s="1" t="n">
        <f aca="false">TRUE()</f>
        <v>1</v>
      </c>
      <c r="H16" s="1" t="n">
        <f aca="false">TRUE()</f>
        <v>1</v>
      </c>
      <c r="I16" s="1" t="n">
        <f aca="false">FALSE()</f>
        <v>0</v>
      </c>
      <c r="J16" s="1" t="n">
        <f aca="false">FALSE()</f>
        <v>0</v>
      </c>
      <c r="K16" s="0" t="n">
        <f aca="false">IFERROR(__xludf.dummyfunction("""COMPUTED_VALUE"""),158)</f>
        <v>158</v>
      </c>
    </row>
    <row r="17" customFormat="false" ht="15.75" hidden="false" customHeight="false" outlineLevel="0" collapsed="false">
      <c r="A17" s="0" t="str">
        <f aca="false">IFERROR(__xludf.dummyfunction("""COMPUTED_VALUE"""),"Фирстова")</f>
        <v>Фирстова</v>
      </c>
      <c r="B17" s="0" t="str">
        <f aca="false">IFERROR(__xludf.dummyfunction("""COMPUTED_VALUE"""),"Екатерина")</f>
        <v>Екатерина</v>
      </c>
      <c r="C17" s="0" t="n">
        <f aca="false">IFERROR(__xludf.dummyfunction("""COMPUTED_VALUE"""),10)</f>
        <v>10</v>
      </c>
      <c r="D17" s="0" t="n">
        <f aca="false">IFERROR(__xludf.dummyfunction("""COMPUTED_VALUE"""),64)</f>
        <v>64</v>
      </c>
      <c r="E17" s="12" t="str">
        <f aca="false">IFERROR(__xludf.dummyfunction("""COMPUTED_VALUE"""),"Анализ данных в биологии и IT")</f>
        <v>Анализ данных в биологии и IT</v>
      </c>
      <c r="F17" s="1" t="n">
        <f aca="false">TRUE()</f>
        <v>1</v>
      </c>
      <c r="G17" s="1" t="n">
        <f aca="false">TRUE()</f>
        <v>1</v>
      </c>
      <c r="H17" s="1" t="n">
        <f aca="false">TRUE()</f>
        <v>1</v>
      </c>
      <c r="I17" s="1" t="n">
        <f aca="false">FALSE()</f>
        <v>0</v>
      </c>
      <c r="J17" s="1" t="n">
        <f aca="false">FALSE()</f>
        <v>0</v>
      </c>
      <c r="K17" s="0" t="n">
        <f aca="false">IFERROR(__xludf.dummyfunction("""COMPUTED_VALUE"""),40)</f>
        <v>40</v>
      </c>
    </row>
    <row r="18" customFormat="false" ht="15.75" hidden="false" customHeight="false" outlineLevel="0" collapsed="false">
      <c r="A18" s="0" t="str">
        <f aca="false">IFERROR(__xludf.dummyfunction("""COMPUTED_VALUE"""),"Белозеров")</f>
        <v>Белозеров</v>
      </c>
      <c r="B18" s="0" t="str">
        <f aca="false">IFERROR(__xludf.dummyfunction("""COMPUTED_VALUE"""),"Алексей")</f>
        <v>Алексей</v>
      </c>
      <c r="C18" s="0" t="n">
        <f aca="false">IFERROR(__xludf.dummyfunction("""COMPUTED_VALUE"""),9)</f>
        <v>9</v>
      </c>
      <c r="D18" s="0" t="n">
        <f aca="false">IFERROR(__xludf.dummyfunction("""COMPUTED_VALUE"""),56)</f>
        <v>56</v>
      </c>
      <c r="E18" s="12" t="str">
        <f aca="false">IFERROR(__xludf.dummyfunction("""COMPUTED_VALUE"""),"Введение в психосоматику")</f>
        <v>Введение в психосоматику</v>
      </c>
      <c r="F18" s="1" t="n">
        <f aca="false">TRUE()</f>
        <v>1</v>
      </c>
      <c r="G18" s="1" t="n">
        <f aca="false">TRUE()</f>
        <v>1</v>
      </c>
      <c r="H18" s="1" t="n">
        <f aca="false">TRUE()</f>
        <v>1</v>
      </c>
      <c r="I18" s="1" t="n">
        <f aca="false">TRUE()</f>
        <v>1</v>
      </c>
      <c r="J18" s="1" t="n">
        <f aca="false">TRUE()</f>
        <v>1</v>
      </c>
      <c r="K18" s="0" t="n">
        <f aca="false">IFERROR(__xludf.dummyfunction("""COMPUTED_VALUE"""),166)</f>
        <v>166</v>
      </c>
    </row>
    <row r="19" customFormat="false" ht="15.75" hidden="false" customHeight="false" outlineLevel="0" collapsed="false">
      <c r="A19" s="0" t="str">
        <f aca="false">IFERROR(__xludf.dummyfunction("""COMPUTED_VALUE"""),"Богун")</f>
        <v>Богун</v>
      </c>
      <c r="B19" s="0" t="str">
        <f aca="false">IFERROR(__xludf.dummyfunction("""COMPUTED_VALUE"""),"Сабина")</f>
        <v>Сабина</v>
      </c>
      <c r="C19" s="0" t="n">
        <f aca="false">IFERROR(__xludf.dummyfunction("""COMPUTED_VALUE"""),8)</f>
        <v>8</v>
      </c>
      <c r="D19" s="0" t="n">
        <f aca="false">IFERROR(__xludf.dummyfunction("""COMPUTED_VALUE"""),130)</f>
        <v>130</v>
      </c>
      <c r="E19" s="12" t="str">
        <f aca="false">IFERROR(__xludf.dummyfunction("""COMPUTED_VALUE"""),"Введение в психосоматику")</f>
        <v>Введение в психосоматику</v>
      </c>
      <c r="F19" s="1" t="n">
        <f aca="false">FALSE()</f>
        <v>0</v>
      </c>
      <c r="G19" s="1" t="n">
        <f aca="false">FALSE()</f>
        <v>0</v>
      </c>
      <c r="H19" s="1" t="n">
        <f aca="false">FALSE()</f>
        <v>0</v>
      </c>
      <c r="I19" s="1" t="n">
        <f aca="false">FALSE()</f>
        <v>0</v>
      </c>
      <c r="J19" s="1" t="n">
        <f aca="false">FALSE()</f>
        <v>0</v>
      </c>
      <c r="K19" s="0" t="n">
        <f aca="false">IFERROR(__xludf.dummyfunction("""COMPUTED_VALUE"""),111)</f>
        <v>111</v>
      </c>
      <c r="M19" s="12" t="str">
        <f aca="false">IF(COUNTIF('Переформатированный ответ'!AF2:AJ200,TRUE()) &lt; COUNTIF(F2:J200,TRUE()),"Не загружено",IF(COUNTIF('Переформатированный ответ'!AF2:AJ200,TRUE()) = COUNTIF(F2:J200,TRUE()),"Загружено","Пиздец"))</f>
        <v>Загружено</v>
      </c>
    </row>
    <row r="20" customFormat="false" ht="15.75" hidden="false" customHeight="false" outlineLevel="0" collapsed="false">
      <c r="A20" s="0" t="str">
        <f aca="false">IFERROR(__xludf.dummyfunction("""COMPUTED_VALUE"""),"Булучевская")</f>
        <v>Булучевская</v>
      </c>
      <c r="B20" s="0" t="str">
        <f aca="false">IFERROR(__xludf.dummyfunction("""COMPUTED_VALUE"""),"Нина")</f>
        <v>Нина</v>
      </c>
      <c r="C20" s="0" t="n">
        <f aca="false">IFERROR(__xludf.dummyfunction("""COMPUTED_VALUE"""),9)</f>
        <v>9</v>
      </c>
      <c r="D20" s="0" t="n">
        <f aca="false">IFERROR(__xludf.dummyfunction("""COMPUTED_VALUE"""),117)</f>
        <v>117</v>
      </c>
      <c r="E20" s="12" t="str">
        <f aca="false">IFERROR(__xludf.dummyfunction("""COMPUTED_VALUE"""),"Введение в психосоматику")</f>
        <v>Введение в психосоматику</v>
      </c>
      <c r="F20" s="1" t="n">
        <f aca="false">FALSE()</f>
        <v>0</v>
      </c>
      <c r="G20" s="1" t="n">
        <f aca="false">FALSE()</f>
        <v>0</v>
      </c>
      <c r="H20" s="1" t="n">
        <f aca="false">FALSE()</f>
        <v>0</v>
      </c>
      <c r="I20" s="1" t="n">
        <f aca="false">FALSE()</f>
        <v>0</v>
      </c>
      <c r="J20" s="1" t="n">
        <f aca="false">FALSE()</f>
        <v>0</v>
      </c>
      <c r="K20" s="0" t="n">
        <f aca="false">IFERROR(__xludf.dummyfunction("""COMPUTED_VALUE"""),134)</f>
        <v>134</v>
      </c>
    </row>
    <row r="21" customFormat="false" ht="15.75" hidden="false" customHeight="false" outlineLevel="0" collapsed="false">
      <c r="A21" s="0" t="str">
        <f aca="false">IFERROR(__xludf.dummyfunction("""COMPUTED_VALUE"""),"Винтер")</f>
        <v>Винтер</v>
      </c>
      <c r="B21" s="0" t="str">
        <f aca="false">IFERROR(__xludf.dummyfunction("""COMPUTED_VALUE"""),"Кирилл")</f>
        <v>Кирилл</v>
      </c>
      <c r="C21" s="0" t="n">
        <f aca="false">IFERROR(__xludf.dummyfunction("""COMPUTED_VALUE"""),8)</f>
        <v>8</v>
      </c>
      <c r="D21" s="0" t="n">
        <f aca="false">IFERROR(__xludf.dummyfunction("""COMPUTED_VALUE"""),117)</f>
        <v>117</v>
      </c>
      <c r="E21" s="12" t="str">
        <f aca="false">IFERROR(__xludf.dummyfunction("""COMPUTED_VALUE"""),"Введение в психосоматику")</f>
        <v>Введение в психосоматику</v>
      </c>
      <c r="F21" s="1" t="n">
        <f aca="false">TRUE()</f>
        <v>1</v>
      </c>
      <c r="G21" s="1" t="n">
        <f aca="false">TRUE()</f>
        <v>1</v>
      </c>
      <c r="H21" s="1" t="n">
        <f aca="false">TRUE()</f>
        <v>1</v>
      </c>
      <c r="I21" s="1" t="n">
        <f aca="false">TRUE()</f>
        <v>1</v>
      </c>
      <c r="J21" s="1" t="n">
        <f aca="false">TRUE()</f>
        <v>1</v>
      </c>
      <c r="K21" s="0" t="n">
        <f aca="false">IFERROR(__xludf.dummyfunction("""COMPUTED_VALUE"""),153)</f>
        <v>153</v>
      </c>
    </row>
    <row r="22" customFormat="false" ht="15.75" hidden="false" customHeight="false" outlineLevel="0" collapsed="false">
      <c r="A22" s="0" t="str">
        <f aca="false">IFERROR(__xludf.dummyfunction("""COMPUTED_VALUE"""),"Гричкоедовой")</f>
        <v>Гричкоедовой</v>
      </c>
      <c r="B22" s="0" t="str">
        <f aca="false">IFERROR(__xludf.dummyfunction("""COMPUTED_VALUE"""),"Анастасия")</f>
        <v>Анастасия</v>
      </c>
      <c r="C22" s="0" t="n">
        <f aca="false">IFERROR(__xludf.dummyfunction("""COMPUTED_VALUE"""),10)</f>
        <v>10</v>
      </c>
      <c r="D22" s="0" t="n">
        <f aca="false">IFERROR(__xludf.dummyfunction("""COMPUTED_VALUE"""),149)</f>
        <v>149</v>
      </c>
      <c r="E22" s="12" t="str">
        <f aca="false">IFERROR(__xludf.dummyfunction("""COMPUTED_VALUE"""),"Введение в психосоматику")</f>
        <v>Введение в психосоматику</v>
      </c>
      <c r="F22" s="1" t="n">
        <f aca="false">FALSE()</f>
        <v>0</v>
      </c>
      <c r="G22" s="1" t="n">
        <f aca="false">FALSE()</f>
        <v>0</v>
      </c>
      <c r="H22" s="1" t="n">
        <f aca="false">FALSE()</f>
        <v>0</v>
      </c>
      <c r="I22" s="1" t="n">
        <f aca="false">FALSE()</f>
        <v>0</v>
      </c>
      <c r="J22" s="1" t="n">
        <f aca="false">FALSE()</f>
        <v>0</v>
      </c>
      <c r="K22" s="0" t="n">
        <f aca="false">IFERROR(__xludf.dummyfunction("""COMPUTED_VALUE"""),162)</f>
        <v>162</v>
      </c>
    </row>
    <row r="23" customFormat="false" ht="15.75" hidden="false" customHeight="false" outlineLevel="0" collapsed="false">
      <c r="A23" s="0" t="str">
        <f aca="false">IFERROR(__xludf.dummyfunction("""COMPUTED_VALUE"""),"Качанова")</f>
        <v>Качанова</v>
      </c>
      <c r="B23" s="0" t="str">
        <f aca="false">IFERROR(__xludf.dummyfunction("""COMPUTED_VALUE"""),"Софья")</f>
        <v>Софья</v>
      </c>
      <c r="C23" s="0" t="n">
        <f aca="false">IFERROR(__xludf.dummyfunction("""COMPUTED_VALUE"""),9)</f>
        <v>9</v>
      </c>
      <c r="D23" s="0" t="n">
        <f aca="false">IFERROR(__xludf.dummyfunction("""COMPUTED_VALUE"""),159)</f>
        <v>159</v>
      </c>
      <c r="E23" s="12" t="str">
        <f aca="false">IFERROR(__xludf.dummyfunction("""COMPUTED_VALUE"""),"Введение в психосоматику")</f>
        <v>Введение в психосоматику</v>
      </c>
      <c r="F23" s="1" t="n">
        <f aca="false">TRUE()</f>
        <v>1</v>
      </c>
      <c r="G23" s="1" t="n">
        <f aca="false">TRUE()</f>
        <v>1</v>
      </c>
      <c r="H23" s="1" t="n">
        <f aca="false">TRUE()</f>
        <v>1</v>
      </c>
      <c r="I23" s="1" t="n">
        <f aca="false">TRUE()</f>
        <v>1</v>
      </c>
      <c r="J23" s="1" t="n">
        <f aca="false">TRUE()</f>
        <v>1</v>
      </c>
      <c r="K23" s="0" t="n">
        <f aca="false">IFERROR(__xludf.dummyfunction("""COMPUTED_VALUE"""),109)</f>
        <v>109</v>
      </c>
    </row>
    <row r="24" customFormat="false" ht="15.75" hidden="false" customHeight="false" outlineLevel="0" collapsed="false">
      <c r="A24" s="0" t="str">
        <f aca="false">IFERROR(__xludf.dummyfunction("""COMPUTED_VALUE"""),"Кузин ")</f>
        <v>Кузин</v>
      </c>
      <c r="B24" s="0" t="str">
        <f aca="false">IFERROR(__xludf.dummyfunction("""COMPUTED_VALUE"""),"Никита")</f>
        <v>Никита</v>
      </c>
      <c r="C24" s="0" t="n">
        <f aca="false">IFERROR(__xludf.dummyfunction("""COMPUTED_VALUE"""),11)</f>
        <v>11</v>
      </c>
      <c r="D24" s="0" t="n">
        <f aca="false">IFERROR(__xludf.dummyfunction("""COMPUTED_VALUE"""),149)</f>
        <v>149</v>
      </c>
      <c r="E24" s="12" t="str">
        <f aca="false">IFERROR(__xludf.dummyfunction("""COMPUTED_VALUE"""),"Введение в психосоматику")</f>
        <v>Введение в психосоматику</v>
      </c>
      <c r="F24" s="1" t="n">
        <f aca="false">TRUE()</f>
        <v>1</v>
      </c>
      <c r="G24" s="1" t="n">
        <f aca="false">TRUE()</f>
        <v>1</v>
      </c>
      <c r="H24" s="1" t="n">
        <f aca="false">FALSE()</f>
        <v>0</v>
      </c>
      <c r="I24" s="1" t="n">
        <f aca="false">FALSE()</f>
        <v>0</v>
      </c>
      <c r="J24" s="1" t="n">
        <f aca="false">FALSE()</f>
        <v>0</v>
      </c>
      <c r="K24" s="0" t="n">
        <f aca="false">IFERROR(__xludf.dummyfunction("""COMPUTED_VALUE"""),46)</f>
        <v>46</v>
      </c>
    </row>
    <row r="25" customFormat="false" ht="15.75" hidden="false" customHeight="false" outlineLevel="0" collapsed="false">
      <c r="A25" s="0" t="str">
        <f aca="false">IFERROR(__xludf.dummyfunction("""COMPUTED_VALUE"""),"Куличенко ")</f>
        <v>Куличенко</v>
      </c>
      <c r="B25" s="0" t="str">
        <f aca="false">IFERROR(__xludf.dummyfunction("""COMPUTED_VALUE"""),"Катя")</f>
        <v>Катя</v>
      </c>
      <c r="C25" s="0" t="n">
        <f aca="false">IFERROR(__xludf.dummyfunction("""COMPUTED_VALUE"""),8)</f>
        <v>8</v>
      </c>
      <c r="D25" s="0" t="n">
        <f aca="false">IFERROR(__xludf.dummyfunction("""COMPUTED_VALUE"""),117)</f>
        <v>117</v>
      </c>
      <c r="E25" s="12" t="str">
        <f aca="false">IFERROR(__xludf.dummyfunction("""COMPUTED_VALUE"""),"Введение в психосоматику")</f>
        <v>Введение в психосоматику</v>
      </c>
      <c r="F25" s="1" t="n">
        <f aca="false">TRUE()</f>
        <v>1</v>
      </c>
      <c r="G25" s="1" t="n">
        <f aca="false">TRUE()</f>
        <v>1</v>
      </c>
      <c r="H25" s="1" t="n">
        <f aca="false">TRUE()</f>
        <v>1</v>
      </c>
      <c r="I25" s="1" t="n">
        <f aca="false">FALSE()</f>
        <v>0</v>
      </c>
      <c r="J25" s="1" t="n">
        <f aca="false">FALSE()</f>
        <v>0</v>
      </c>
      <c r="K25" s="0" t="n">
        <f aca="false">IFERROR(__xludf.dummyfunction("""COMPUTED_VALUE"""),13)</f>
        <v>13</v>
      </c>
    </row>
    <row r="26" customFormat="false" ht="15.75" hidden="false" customHeight="false" outlineLevel="0" collapsed="false">
      <c r="A26" s="0" t="str">
        <f aca="false">IFERROR(__xludf.dummyfunction("""COMPUTED_VALUE"""),"Лапаницына")</f>
        <v>Лапаницына</v>
      </c>
      <c r="B26" s="0" t="str">
        <f aca="false">IFERROR(__xludf.dummyfunction("""COMPUTED_VALUE"""),"Анна")</f>
        <v>Анна</v>
      </c>
      <c r="C26" s="0" t="n">
        <f aca="false">IFERROR(__xludf.dummyfunction("""COMPUTED_VALUE"""),8)</f>
        <v>8</v>
      </c>
      <c r="D26" s="0" t="n">
        <f aca="false">IFERROR(__xludf.dummyfunction("""COMPUTED_VALUE"""),137)</f>
        <v>137</v>
      </c>
      <c r="E26" s="12" t="str">
        <f aca="false">IFERROR(__xludf.dummyfunction("""COMPUTED_VALUE"""),"Введение в психосоматику")</f>
        <v>Введение в психосоматику</v>
      </c>
      <c r="F26" s="1" t="n">
        <f aca="false">TRUE()</f>
        <v>1</v>
      </c>
      <c r="G26" s="1" t="n">
        <f aca="false">TRUE()</f>
        <v>1</v>
      </c>
      <c r="H26" s="1" t="n">
        <f aca="false">TRUE()</f>
        <v>1</v>
      </c>
      <c r="I26" s="1" t="n">
        <f aca="false">TRUE()</f>
        <v>1</v>
      </c>
      <c r="J26" s="1" t="n">
        <f aca="false">TRUE()</f>
        <v>1</v>
      </c>
      <c r="K26" s="0" t="n">
        <f aca="false">IFERROR(__xludf.dummyfunction("""COMPUTED_VALUE"""),100)</f>
        <v>100</v>
      </c>
    </row>
    <row r="27" customFormat="false" ht="15.75" hidden="false" customHeight="false" outlineLevel="0" collapsed="false">
      <c r="A27" s="0" t="str">
        <f aca="false">IFERROR(__xludf.dummyfunction("""COMPUTED_VALUE"""),"Лекант")</f>
        <v>Лекант</v>
      </c>
      <c r="B27" s="0" t="str">
        <f aca="false">IFERROR(__xludf.dummyfunction("""COMPUTED_VALUE"""),"Полина")</f>
        <v>Полина</v>
      </c>
      <c r="C27" s="0" t="n">
        <f aca="false">IFERROR(__xludf.dummyfunction("""COMPUTED_VALUE"""),10)</f>
        <v>10</v>
      </c>
      <c r="D27" s="0" t="n">
        <f aca="false">IFERROR(__xludf.dummyfunction("""COMPUTED_VALUE"""),117)</f>
        <v>117</v>
      </c>
      <c r="E27" s="12" t="str">
        <f aca="false">IFERROR(__xludf.dummyfunction("""COMPUTED_VALUE"""),"Введение в психосоматику")</f>
        <v>Введение в психосоматику</v>
      </c>
      <c r="F27" s="1" t="n">
        <f aca="false">FALSE()</f>
        <v>0</v>
      </c>
      <c r="G27" s="1" t="n">
        <f aca="false">FALSE()</f>
        <v>0</v>
      </c>
      <c r="H27" s="1" t="n">
        <f aca="false">FALSE()</f>
        <v>0</v>
      </c>
      <c r="I27" s="1" t="n">
        <f aca="false">FALSE()</f>
        <v>0</v>
      </c>
      <c r="J27" s="1" t="n">
        <f aca="false">FALSE()</f>
        <v>0</v>
      </c>
      <c r="K27" s="0" t="n">
        <f aca="false">IFERROR(__xludf.dummyfunction("""COMPUTED_VALUE"""),125)</f>
        <v>125</v>
      </c>
    </row>
    <row r="28" customFormat="false" ht="15.75" hidden="false" customHeight="false" outlineLevel="0" collapsed="false">
      <c r="A28" s="0" t="str">
        <f aca="false">IFERROR(__xludf.dummyfunction("""COMPUTED_VALUE"""),"Линкер")</f>
        <v>Линкер</v>
      </c>
      <c r="B28" s="0" t="str">
        <f aca="false">IFERROR(__xludf.dummyfunction("""COMPUTED_VALUE"""),"Екатерина")</f>
        <v>Екатерина</v>
      </c>
      <c r="C28" s="0" t="n">
        <f aca="false">IFERROR(__xludf.dummyfunction("""COMPUTED_VALUE"""),8)</f>
        <v>8</v>
      </c>
      <c r="D28" s="0" t="n">
        <f aca="false">IFERROR(__xludf.dummyfunction("""COMPUTED_VALUE"""),137)</f>
        <v>137</v>
      </c>
      <c r="E28" s="12" t="str">
        <f aca="false">IFERROR(__xludf.dummyfunction("""COMPUTED_VALUE"""),"Введение в психосоматику")</f>
        <v>Введение в психосоматику</v>
      </c>
      <c r="F28" s="1" t="n">
        <f aca="false">TRUE()</f>
        <v>1</v>
      </c>
      <c r="G28" s="1" t="n">
        <f aca="false">TRUE()</f>
        <v>1</v>
      </c>
      <c r="H28" s="1" t="n">
        <f aca="false">TRUE()</f>
        <v>1</v>
      </c>
      <c r="I28" s="1" t="n">
        <f aca="false">TRUE()</f>
        <v>1</v>
      </c>
      <c r="J28" s="1" t="n">
        <f aca="false">TRUE()</f>
        <v>1</v>
      </c>
      <c r="K28" s="0" t="n">
        <f aca="false">IFERROR(__xludf.dummyfunction("""COMPUTED_VALUE"""),101)</f>
        <v>101</v>
      </c>
    </row>
    <row r="29" customFormat="false" ht="15.75" hidden="false" customHeight="false" outlineLevel="0" collapsed="false">
      <c r="A29" s="0" t="str">
        <f aca="false">IFERROR(__xludf.dummyfunction("""COMPUTED_VALUE"""),"Лисина")</f>
        <v>Лисина</v>
      </c>
      <c r="B29" s="0" t="str">
        <f aca="false">IFERROR(__xludf.dummyfunction("""COMPUTED_VALUE"""),"Мария")</f>
        <v>Мария</v>
      </c>
      <c r="C29" s="0" t="n">
        <f aca="false">IFERROR(__xludf.dummyfunction("""COMPUTED_VALUE"""),10)</f>
        <v>10</v>
      </c>
      <c r="D29" s="0" t="n">
        <f aca="false">IFERROR(__xludf.dummyfunction("""COMPUTED_VALUE"""),150)</f>
        <v>150</v>
      </c>
      <c r="E29" s="12" t="str">
        <f aca="false">IFERROR(__xludf.dummyfunction("""COMPUTED_VALUE"""),"Введение в психосоматику")</f>
        <v>Введение в психосоматику</v>
      </c>
      <c r="F29" s="1" t="n">
        <f aca="false">TRUE()</f>
        <v>1</v>
      </c>
      <c r="G29" s="1" t="n">
        <f aca="false">TRUE()</f>
        <v>1</v>
      </c>
      <c r="H29" s="1" t="n">
        <f aca="false">TRUE()</f>
        <v>1</v>
      </c>
      <c r="I29" s="1" t="n">
        <f aca="false">FALSE()</f>
        <v>0</v>
      </c>
      <c r="J29" s="1" t="n">
        <f aca="false">FALSE()</f>
        <v>0</v>
      </c>
      <c r="K29" s="0" t="n">
        <f aca="false">IFERROR(__xludf.dummyfunction("""COMPUTED_VALUE"""),121)</f>
        <v>121</v>
      </c>
    </row>
    <row r="30" customFormat="false" ht="15.75" hidden="false" customHeight="false" outlineLevel="0" collapsed="false">
      <c r="A30" s="0" t="str">
        <f aca="false">IFERROR(__xludf.dummyfunction("""COMPUTED_VALUE"""),"Локтионова")</f>
        <v>Локтионова</v>
      </c>
      <c r="B30" s="0" t="str">
        <f aca="false">IFERROR(__xludf.dummyfunction("""COMPUTED_VALUE"""),"Даниэла")</f>
        <v>Даниэла</v>
      </c>
      <c r="C30" s="0" t="n">
        <f aca="false">IFERROR(__xludf.dummyfunction("""COMPUTED_VALUE"""),10)</f>
        <v>10</v>
      </c>
      <c r="D30" s="0" t="n">
        <f aca="false">IFERROR(__xludf.dummyfunction("""COMPUTED_VALUE"""),64)</f>
        <v>64</v>
      </c>
      <c r="E30" s="12" t="str">
        <f aca="false">IFERROR(__xludf.dummyfunction("""COMPUTED_VALUE"""),"Введение в психосоматику")</f>
        <v>Введение в психосоматику</v>
      </c>
      <c r="F30" s="1" t="n">
        <f aca="false">TRUE()</f>
        <v>1</v>
      </c>
      <c r="G30" s="1" t="n">
        <f aca="false">FALSE()</f>
        <v>0</v>
      </c>
      <c r="H30" s="1" t="n">
        <f aca="false">FALSE()</f>
        <v>0</v>
      </c>
      <c r="I30" s="1" t="n">
        <f aca="false">FALSE()</f>
        <v>0</v>
      </c>
      <c r="J30" s="1" t="n">
        <f aca="false">FALSE()</f>
        <v>0</v>
      </c>
      <c r="K30" s="0" t="n">
        <f aca="false">IFERROR(__xludf.dummyfunction("""COMPUTED_VALUE"""),67)</f>
        <v>67</v>
      </c>
    </row>
    <row r="31" customFormat="false" ht="15.75" hidden="false" customHeight="false" outlineLevel="0" collapsed="false">
      <c r="A31" s="0" t="str">
        <f aca="false">IFERROR(__xludf.dummyfunction("""COMPUTED_VALUE"""),"Путинцев")</f>
        <v>Путинцев</v>
      </c>
      <c r="B31" s="0" t="str">
        <f aca="false">IFERROR(__xludf.dummyfunction("""COMPUTED_VALUE"""),"Матвей")</f>
        <v>Матвей</v>
      </c>
      <c r="C31" s="0" t="n">
        <f aca="false">IFERROR(__xludf.dummyfunction("""COMPUTED_VALUE"""),8)</f>
        <v>8</v>
      </c>
      <c r="D31" s="0" t="n">
        <f aca="false">IFERROR(__xludf.dummyfunction("""COMPUTED_VALUE"""),66)</f>
        <v>66</v>
      </c>
      <c r="E31" s="12" t="str">
        <f aca="false">IFERROR(__xludf.dummyfunction("""COMPUTED_VALUE"""),"Введение в психосоматику")</f>
        <v>Введение в психосоматику</v>
      </c>
      <c r="F31" s="1" t="n">
        <f aca="false">TRUE()</f>
        <v>1</v>
      </c>
      <c r="G31" s="1" t="n">
        <f aca="false">FALSE()</f>
        <v>0</v>
      </c>
      <c r="H31" s="1" t="n">
        <f aca="false">FALSE()</f>
        <v>0</v>
      </c>
      <c r="I31" s="1" t="n">
        <f aca="false">FALSE()</f>
        <v>0</v>
      </c>
      <c r="J31" s="1" t="n">
        <f aca="false">FALSE()</f>
        <v>0</v>
      </c>
      <c r="K31" s="0" t="n">
        <f aca="false">IFERROR(__xludf.dummyfunction("""COMPUTED_VALUE"""),175)</f>
        <v>175</v>
      </c>
    </row>
    <row r="32" customFormat="false" ht="15.75" hidden="false" customHeight="false" outlineLevel="0" collapsed="false">
      <c r="A32" s="0" t="str">
        <f aca="false">IFERROR(__xludf.dummyfunction("""COMPUTED_VALUE"""),"Сафронова")</f>
        <v>Сафронова</v>
      </c>
      <c r="B32" s="0" t="str">
        <f aca="false">IFERROR(__xludf.dummyfunction("""COMPUTED_VALUE"""),"Ирина")</f>
        <v>Ирина</v>
      </c>
      <c r="C32" s="0" t="n">
        <f aca="false">IFERROR(__xludf.dummyfunction("""COMPUTED_VALUE"""),10)</f>
        <v>10</v>
      </c>
      <c r="D32" s="0" t="n">
        <f aca="false">IFERROR(__xludf.dummyfunction("""COMPUTED_VALUE"""),26)</f>
        <v>26</v>
      </c>
      <c r="E32" s="12" t="str">
        <f aca="false">IFERROR(__xludf.dummyfunction("""COMPUTED_VALUE"""),"Введение в психосоматику")</f>
        <v>Введение в психосоматику</v>
      </c>
      <c r="F32" s="1" t="n">
        <f aca="false">TRUE()</f>
        <v>1</v>
      </c>
      <c r="G32" s="1" t="n">
        <f aca="false">TRUE()</f>
        <v>1</v>
      </c>
      <c r="H32" s="1" t="n">
        <f aca="false">TRUE()</f>
        <v>1</v>
      </c>
      <c r="I32" s="1" t="n">
        <f aca="false">TRUE()</f>
        <v>1</v>
      </c>
      <c r="J32" s="1" t="n">
        <f aca="false">TRUE()</f>
        <v>1</v>
      </c>
      <c r="K32" s="0" t="n">
        <f aca="false">IFERROR(__xludf.dummyfunction("""COMPUTED_VALUE"""),116)</f>
        <v>116</v>
      </c>
    </row>
    <row r="33" customFormat="false" ht="15.75" hidden="false" customHeight="false" outlineLevel="0" collapsed="false">
      <c r="A33" s="0" t="str">
        <f aca="false">IFERROR(__xludf.dummyfunction("""COMPUTED_VALUE"""),"Семёнова")</f>
        <v>Семёнова</v>
      </c>
      <c r="B33" s="0" t="str">
        <f aca="false">IFERROR(__xludf.dummyfunction("""COMPUTED_VALUE"""),"Анастасия")</f>
        <v>Анастасия</v>
      </c>
      <c r="C33" s="0" t="n">
        <f aca="false">IFERROR(__xludf.dummyfunction("""COMPUTED_VALUE"""),8)</f>
        <v>8</v>
      </c>
      <c r="D33" s="0" t="n">
        <f aca="false">IFERROR(__xludf.dummyfunction("""COMPUTED_VALUE"""),63)</f>
        <v>63</v>
      </c>
      <c r="E33" s="12" t="str">
        <f aca="false">IFERROR(__xludf.dummyfunction("""COMPUTED_VALUE"""),"Введение в психосоматику")</f>
        <v>Введение в психосоматику</v>
      </c>
      <c r="F33" s="1" t="n">
        <f aca="false">FALSE()</f>
        <v>0</v>
      </c>
      <c r="G33" s="1" t="n">
        <f aca="false">FALSE()</f>
        <v>0</v>
      </c>
      <c r="H33" s="1" t="n">
        <f aca="false">FALSE()</f>
        <v>0</v>
      </c>
      <c r="I33" s="1" t="n">
        <f aca="false">FALSE()</f>
        <v>0</v>
      </c>
      <c r="J33" s="1" t="n">
        <f aca="false">FALSE()</f>
        <v>0</v>
      </c>
      <c r="K33" s="0" t="n">
        <f aca="false">IFERROR(__xludf.dummyfunction("""COMPUTED_VALUE"""),163)</f>
        <v>163</v>
      </c>
    </row>
    <row r="34" customFormat="false" ht="15.75" hidden="false" customHeight="false" outlineLevel="0" collapsed="false">
      <c r="A34" s="0" t="str">
        <f aca="false">IFERROR(__xludf.dummyfunction("""COMPUTED_VALUE"""),"Сим")</f>
        <v>Сим</v>
      </c>
      <c r="B34" s="0" t="str">
        <f aca="false">IFERROR(__xludf.dummyfunction("""COMPUTED_VALUE"""),"Алина")</f>
        <v>Алина</v>
      </c>
      <c r="C34" s="0" t="n">
        <f aca="false">IFERROR(__xludf.dummyfunction("""COMPUTED_VALUE"""),8)</f>
        <v>8</v>
      </c>
      <c r="D34" s="0" t="n">
        <f aca="false">IFERROR(__xludf.dummyfunction("""COMPUTED_VALUE"""),117)</f>
        <v>117</v>
      </c>
      <c r="E34" s="12" t="str">
        <f aca="false">IFERROR(__xludf.dummyfunction("""COMPUTED_VALUE"""),"Введение в психосоматику")</f>
        <v>Введение в психосоматику</v>
      </c>
      <c r="F34" s="1" t="n">
        <f aca="false">FALSE()</f>
        <v>0</v>
      </c>
      <c r="G34" s="1" t="n">
        <f aca="false">FALSE()</f>
        <v>0</v>
      </c>
      <c r="H34" s="1" t="n">
        <f aca="false">FALSE()</f>
        <v>0</v>
      </c>
      <c r="I34" s="1" t="n">
        <f aca="false">FALSE()</f>
        <v>0</v>
      </c>
      <c r="J34" s="1" t="n">
        <f aca="false">FALSE()</f>
        <v>0</v>
      </c>
      <c r="K34" s="0" t="n">
        <f aca="false">IFERROR(__xludf.dummyfunction("""COMPUTED_VALUE"""),122)</f>
        <v>122</v>
      </c>
    </row>
    <row r="35" customFormat="false" ht="15.75" hidden="false" customHeight="false" outlineLevel="0" collapsed="false">
      <c r="A35" s="0" t="str">
        <f aca="false">IFERROR(__xludf.dummyfunction("""COMPUTED_VALUE"""),"таранова")</f>
        <v>таранова</v>
      </c>
      <c r="B35" s="0" t="str">
        <f aca="false">IFERROR(__xludf.dummyfunction("""COMPUTED_VALUE"""),"екатерина")</f>
        <v>екатерина</v>
      </c>
      <c r="C35" s="0" t="n">
        <f aca="false">IFERROR(__xludf.dummyfunction("""COMPUTED_VALUE"""),9)</f>
        <v>9</v>
      </c>
      <c r="D35" s="0" t="n">
        <f aca="false">IFERROR(__xludf.dummyfunction("""COMPUTED_VALUE"""),7)</f>
        <v>7</v>
      </c>
      <c r="E35" s="12" t="str">
        <f aca="false">IFERROR(__xludf.dummyfunction("""COMPUTED_VALUE"""),"Введение в психосоматику")</f>
        <v>Введение в психосоматику</v>
      </c>
      <c r="F35" s="1" t="n">
        <f aca="false">TRUE()</f>
        <v>1</v>
      </c>
      <c r="G35" s="1" t="n">
        <f aca="false">TRUE()</f>
        <v>1</v>
      </c>
      <c r="H35" s="1" t="n">
        <f aca="false">TRUE()</f>
        <v>1</v>
      </c>
      <c r="I35" s="1" t="n">
        <f aca="false">TRUE()</f>
        <v>1</v>
      </c>
      <c r="J35" s="1" t="n">
        <f aca="false">TRUE()</f>
        <v>1</v>
      </c>
      <c r="K35" s="0" t="n">
        <f aca="false">IFERROR(__xludf.dummyfunction("""COMPUTED_VALUE"""),15)</f>
        <v>15</v>
      </c>
    </row>
    <row r="36" customFormat="false" ht="15.75" hidden="false" customHeight="false" outlineLevel="0" collapsed="false">
      <c r="A36" s="0" t="str">
        <f aca="false">IFERROR(__xludf.dummyfunction("""COMPUTED_VALUE"""),"Ткаченко")</f>
        <v>Ткаченко</v>
      </c>
      <c r="B36" s="0" t="str">
        <f aca="false">IFERROR(__xludf.dummyfunction("""COMPUTED_VALUE"""),"Юлия")</f>
        <v>Юлия</v>
      </c>
      <c r="C36" s="0" t="n">
        <f aca="false">IFERROR(__xludf.dummyfunction("""COMPUTED_VALUE"""),9)</f>
        <v>9</v>
      </c>
      <c r="D36" s="0" t="n">
        <f aca="false">IFERROR(__xludf.dummyfunction("""COMPUTED_VALUE"""),139)</f>
        <v>139</v>
      </c>
      <c r="E36" s="12" t="str">
        <f aca="false">IFERROR(__xludf.dummyfunction("""COMPUTED_VALUE"""),"Введение в психосоматику")</f>
        <v>Введение в психосоматику</v>
      </c>
      <c r="F36" s="1" t="n">
        <f aca="false">TRUE()</f>
        <v>1</v>
      </c>
      <c r="G36" s="1" t="n">
        <f aca="false">TRUE()</f>
        <v>1</v>
      </c>
      <c r="H36" s="1" t="n">
        <f aca="false">TRUE()</f>
        <v>1</v>
      </c>
      <c r="I36" s="1" t="n">
        <f aca="false">TRUE()</f>
        <v>1</v>
      </c>
      <c r="J36" s="1" t="n">
        <f aca="false">TRUE()</f>
        <v>1</v>
      </c>
      <c r="K36" s="0" t="n">
        <f aca="false">IFERROR(__xludf.dummyfunction("""COMPUTED_VALUE"""),92)</f>
        <v>92</v>
      </c>
    </row>
    <row r="37" customFormat="false" ht="15.75" hidden="false" customHeight="false" outlineLevel="0" collapsed="false">
      <c r="A37" s="0" t="str">
        <f aca="false">IFERROR(__xludf.dummyfunction("""COMPUTED_VALUE"""),"Удовиченко ")</f>
        <v>Удовиченко</v>
      </c>
      <c r="B37" s="0" t="str">
        <f aca="false">IFERROR(__xludf.dummyfunction("""COMPUTED_VALUE"""),"Вероника")</f>
        <v>Вероника</v>
      </c>
      <c r="C37" s="0" t="n">
        <f aca="false">IFERROR(__xludf.dummyfunction("""COMPUTED_VALUE"""),8)</f>
        <v>8</v>
      </c>
      <c r="D37" s="0" t="n">
        <f aca="false">IFERROR(__xludf.dummyfunction("""COMPUTED_VALUE"""),117)</f>
        <v>117</v>
      </c>
      <c r="E37" s="12" t="str">
        <f aca="false">IFERROR(__xludf.dummyfunction("""COMPUTED_VALUE"""),"Введение в психосоматику")</f>
        <v>Введение в психосоматику</v>
      </c>
      <c r="F37" s="1" t="n">
        <f aca="false">TRUE()</f>
        <v>1</v>
      </c>
      <c r="G37" s="1" t="n">
        <f aca="false">TRUE()</f>
        <v>1</v>
      </c>
      <c r="H37" s="1" t="n">
        <f aca="false">FALSE()</f>
        <v>0</v>
      </c>
      <c r="I37" s="1" t="n">
        <f aca="false">FALSE()</f>
        <v>0</v>
      </c>
      <c r="J37" s="1" t="n">
        <f aca="false">FALSE()</f>
        <v>0</v>
      </c>
      <c r="K37" s="0" t="n">
        <f aca="false">IFERROR(__xludf.dummyfunction("""COMPUTED_VALUE"""),30)</f>
        <v>30</v>
      </c>
    </row>
    <row r="38" customFormat="false" ht="15.75" hidden="false" customHeight="false" outlineLevel="0" collapsed="false">
      <c r="A38" s="0" t="str">
        <f aca="false">IFERROR(__xludf.dummyfunction("""COMPUTED_VALUE"""),"Шипилова")</f>
        <v>Шипилова</v>
      </c>
      <c r="B38" s="0" t="str">
        <f aca="false">IFERROR(__xludf.dummyfunction("""COMPUTED_VALUE"""),"Екатерина")</f>
        <v>Екатерина</v>
      </c>
      <c r="C38" s="0" t="n">
        <f aca="false">IFERROR(__xludf.dummyfunction("""COMPUTED_VALUE"""),10)</f>
        <v>10</v>
      </c>
      <c r="D38" s="0" t="n">
        <f aca="false">IFERROR(__xludf.dummyfunction("""COMPUTED_VALUE"""),84)</f>
        <v>84</v>
      </c>
      <c r="E38" s="12" t="str">
        <f aca="false">IFERROR(__xludf.dummyfunction("""COMPUTED_VALUE"""),"Введение в психосоматику")</f>
        <v>Введение в психосоматику</v>
      </c>
      <c r="F38" s="1" t="n">
        <f aca="false">TRUE()</f>
        <v>1</v>
      </c>
      <c r="G38" s="1" t="n">
        <f aca="false">TRUE()</f>
        <v>1</v>
      </c>
      <c r="H38" s="1" t="n">
        <f aca="false">TRUE()</f>
        <v>1</v>
      </c>
      <c r="I38" s="1" t="n">
        <f aca="false">TRUE()</f>
        <v>1</v>
      </c>
      <c r="J38" s="1" t="n">
        <f aca="false">FALSE()</f>
        <v>0</v>
      </c>
      <c r="K38" s="0" t="n">
        <f aca="false">IFERROR(__xludf.dummyfunction("""COMPUTED_VALUE"""),169)</f>
        <v>169</v>
      </c>
    </row>
    <row r="39" customFormat="false" ht="15.75" hidden="false" customHeight="false" outlineLevel="0" collapsed="false">
      <c r="A39" s="0" t="str">
        <f aca="false">IFERROR(__xludf.dummyfunction("""COMPUTED_VALUE"""),"Шлыкова")</f>
        <v>Шлыкова</v>
      </c>
      <c r="B39" s="0" t="str">
        <f aca="false">IFERROR(__xludf.dummyfunction("""COMPUTED_VALUE"""),"Валерия ")</f>
        <v>Валерия</v>
      </c>
      <c r="C39" s="0" t="n">
        <f aca="false">IFERROR(__xludf.dummyfunction("""COMPUTED_VALUE"""),9)</f>
        <v>9</v>
      </c>
      <c r="D39" s="0" t="n">
        <f aca="false">IFERROR(__xludf.dummyfunction("""COMPUTED_VALUE"""),117)</f>
        <v>117</v>
      </c>
      <c r="E39" s="12" t="str">
        <f aca="false">IFERROR(__xludf.dummyfunction("""COMPUTED_VALUE"""),"Введение в психосоматику")</f>
        <v>Введение в психосоматику</v>
      </c>
      <c r="F39" s="1" t="n">
        <f aca="false">TRUE()</f>
        <v>1</v>
      </c>
      <c r="G39" s="1" t="n">
        <f aca="false">TRUE()</f>
        <v>1</v>
      </c>
      <c r="H39" s="1" t="n">
        <f aca="false">TRUE()</f>
        <v>1</v>
      </c>
      <c r="I39" s="1" t="n">
        <f aca="false">TRUE()</f>
        <v>1</v>
      </c>
      <c r="J39" s="1" t="n">
        <f aca="false">FALSE()</f>
        <v>0</v>
      </c>
      <c r="K39" s="0" t="n">
        <f aca="false">IFERROR(__xludf.dummyfunction("""COMPUTED_VALUE"""),90)</f>
        <v>90</v>
      </c>
    </row>
    <row r="40" customFormat="false" ht="15.75" hidden="false" customHeight="false" outlineLevel="0" collapsed="false">
      <c r="A40" s="0" t="str">
        <f aca="false">IFERROR(__xludf.dummyfunction("""COMPUTED_VALUE"""),"Яковлева")</f>
        <v>Яковлева</v>
      </c>
      <c r="B40" s="0" t="str">
        <f aca="false">IFERROR(__xludf.dummyfunction("""COMPUTED_VALUE"""),"Евгения")</f>
        <v>Евгения</v>
      </c>
      <c r="C40" s="0" t="n">
        <f aca="false">IFERROR(__xludf.dummyfunction("""COMPUTED_VALUE"""),10)</f>
        <v>10</v>
      </c>
      <c r="D40" s="0" t="n">
        <f aca="false">IFERROR(__xludf.dummyfunction("""COMPUTED_VALUE"""),166)</f>
        <v>166</v>
      </c>
      <c r="E40" s="12" t="str">
        <f aca="false">IFERROR(__xludf.dummyfunction("""COMPUTED_VALUE"""),"Введение в психосоматику")</f>
        <v>Введение в психосоматику</v>
      </c>
      <c r="F40" s="1" t="n">
        <f aca="false">FALSE()</f>
        <v>0</v>
      </c>
      <c r="G40" s="1" t="n">
        <f aca="false">FALSE()</f>
        <v>0</v>
      </c>
      <c r="H40" s="1" t="n">
        <f aca="false">FALSE()</f>
        <v>0</v>
      </c>
      <c r="I40" s="1" t="n">
        <f aca="false">FALSE()</f>
        <v>0</v>
      </c>
      <c r="J40" s="1" t="n">
        <f aca="false">FALSE()</f>
        <v>0</v>
      </c>
      <c r="K40" s="0" t="n">
        <f aca="false">IFERROR(__xludf.dummyfunction("""COMPUTED_VALUE"""),64)</f>
        <v>64</v>
      </c>
    </row>
    <row r="41" customFormat="false" ht="15.75" hidden="false" customHeight="false" outlineLevel="0" collapsed="false">
      <c r="A41" s="0" t="str">
        <f aca="false">IFERROR(__xludf.dummyfunction("""COMPUTED_VALUE"""),"Алексеев ")</f>
        <v>Алексеев</v>
      </c>
      <c r="B41" s="0" t="str">
        <f aca="false">IFERROR(__xludf.dummyfunction("""COMPUTED_VALUE"""),"Сергей")</f>
        <v>Сергей</v>
      </c>
      <c r="C41" s="0" t="n">
        <f aca="false">IFERROR(__xludf.dummyfunction("""COMPUTED_VALUE"""),10)</f>
        <v>10</v>
      </c>
      <c r="D41" s="0" t="n">
        <f aca="false">IFERROR(__xludf.dummyfunction("""COMPUTED_VALUE"""),117)</f>
        <v>117</v>
      </c>
      <c r="E41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41" s="1" t="n">
        <f aca="false">FALSE()</f>
        <v>0</v>
      </c>
      <c r="G41" s="1" t="n">
        <f aca="false">FALSE()</f>
        <v>0</v>
      </c>
      <c r="H41" s="1" t="n">
        <f aca="false">FALSE()</f>
        <v>0</v>
      </c>
      <c r="I41" s="1" t="n">
        <f aca="false">FALSE()</f>
        <v>0</v>
      </c>
      <c r="J41" s="1" t="n">
        <f aca="false">FALSE()</f>
        <v>0</v>
      </c>
      <c r="K41" s="0" t="n">
        <f aca="false">IFERROR(__xludf.dummyfunction("""COMPUTED_VALUE"""),114)</f>
        <v>114</v>
      </c>
    </row>
    <row r="42" customFormat="false" ht="15.75" hidden="false" customHeight="false" outlineLevel="0" collapsed="false">
      <c r="A42" s="0" t="str">
        <f aca="false">IFERROR(__xludf.dummyfunction("""COMPUTED_VALUE"""),"Волобуева")</f>
        <v>Волобуева</v>
      </c>
      <c r="B42" s="0" t="str">
        <f aca="false">IFERROR(__xludf.dummyfunction("""COMPUTED_VALUE"""),"Настя")</f>
        <v>Настя</v>
      </c>
      <c r="C42" s="0" t="n">
        <f aca="false">IFERROR(__xludf.dummyfunction("""COMPUTED_VALUE"""),10)</f>
        <v>10</v>
      </c>
      <c r="D42" s="0" t="n">
        <f aca="false">IFERROR(__xludf.dummyfunction("""COMPUTED_VALUE"""),104)</f>
        <v>104</v>
      </c>
      <c r="E42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42" s="1" t="n">
        <f aca="false">TRUE()</f>
        <v>1</v>
      </c>
      <c r="G42" s="1" t="n">
        <f aca="false">FALSE()</f>
        <v>0</v>
      </c>
      <c r="H42" s="1" t="n">
        <f aca="false">TRUE()</f>
        <v>1</v>
      </c>
      <c r="I42" s="1" t="n">
        <f aca="false">TRUE()</f>
        <v>1</v>
      </c>
      <c r="J42" s="1" t="n">
        <f aca="false">TRUE()</f>
        <v>1</v>
      </c>
      <c r="K42" s="0" t="n">
        <f aca="false">IFERROR(__xludf.dummyfunction("""COMPUTED_VALUE"""),79)</f>
        <v>79</v>
      </c>
    </row>
    <row r="43" customFormat="false" ht="15.75" hidden="false" customHeight="false" outlineLevel="0" collapsed="false">
      <c r="A43" s="0" t="str">
        <f aca="false">IFERROR(__xludf.dummyfunction("""COMPUTED_VALUE"""),"Григорьев ")</f>
        <v>Григорьев</v>
      </c>
      <c r="B43" s="0" t="str">
        <f aca="false">IFERROR(__xludf.dummyfunction("""COMPUTED_VALUE"""),"Сергей")</f>
        <v>Сергей</v>
      </c>
      <c r="C43" s="0" t="n">
        <f aca="false">IFERROR(__xludf.dummyfunction("""COMPUTED_VALUE"""),10)</f>
        <v>10</v>
      </c>
      <c r="D43" s="0" t="n">
        <f aca="false">IFERROR(__xludf.dummyfunction("""COMPUTED_VALUE"""),117)</f>
        <v>117</v>
      </c>
      <c r="E43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43" s="1" t="n">
        <f aca="false">FALSE()</f>
        <v>0</v>
      </c>
      <c r="G43" s="1" t="n">
        <f aca="false">FALSE()</f>
        <v>0</v>
      </c>
      <c r="H43" s="1" t="n">
        <f aca="false">FALSE()</f>
        <v>0</v>
      </c>
      <c r="I43" s="1" t="n">
        <f aca="false">FALSE()</f>
        <v>0</v>
      </c>
      <c r="J43" s="1" t="n">
        <f aca="false">FALSE()</f>
        <v>0</v>
      </c>
      <c r="K43" s="0" t="n">
        <f aca="false">IFERROR(__xludf.dummyfunction("""COMPUTED_VALUE"""),108)</f>
        <v>108</v>
      </c>
    </row>
    <row r="44" customFormat="false" ht="15.75" hidden="false" customHeight="false" outlineLevel="0" collapsed="false">
      <c r="A44" s="0" t="str">
        <f aca="false">IFERROR(__xludf.dummyfunction("""COMPUTED_VALUE"""),"Денисова ")</f>
        <v>Денисова</v>
      </c>
      <c r="B44" s="0" t="str">
        <f aca="false">IFERROR(__xludf.dummyfunction("""COMPUTED_VALUE"""),"Маргарита")</f>
        <v>Маргарита</v>
      </c>
      <c r="C44" s="0" t="n">
        <f aca="false">IFERROR(__xludf.dummyfunction("""COMPUTED_VALUE"""),9)</f>
        <v>9</v>
      </c>
      <c r="D44" s="0" t="n">
        <f aca="false">IFERROR(__xludf.dummyfunction("""COMPUTED_VALUE"""),117)</f>
        <v>117</v>
      </c>
      <c r="E44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44" s="1" t="n">
        <f aca="false">TRUE()</f>
        <v>1</v>
      </c>
      <c r="G44" s="1" t="n">
        <f aca="false">FALSE()</f>
        <v>0</v>
      </c>
      <c r="H44" s="1" t="n">
        <f aca="false">TRUE()</f>
        <v>1</v>
      </c>
      <c r="I44" s="1" t="n">
        <f aca="false">FALSE()</f>
        <v>0</v>
      </c>
      <c r="J44" s="1" t="n">
        <f aca="false">TRUE()</f>
        <v>1</v>
      </c>
      <c r="K44" s="0" t="n">
        <f aca="false">IFERROR(__xludf.dummyfunction("""COMPUTED_VALUE"""),142)</f>
        <v>142</v>
      </c>
    </row>
    <row r="45" customFormat="false" ht="15.75" hidden="false" customHeight="false" outlineLevel="0" collapsed="false">
      <c r="A45" s="0" t="str">
        <f aca="false">IFERROR(__xludf.dummyfunction("""COMPUTED_VALUE"""),"Жигулина")</f>
        <v>Жигулина</v>
      </c>
      <c r="B45" s="0" t="str">
        <f aca="false">IFERROR(__xludf.dummyfunction("""COMPUTED_VALUE"""),"Виктория")</f>
        <v>Виктория</v>
      </c>
      <c r="C45" s="0" t="n">
        <f aca="false">IFERROR(__xludf.dummyfunction("""COMPUTED_VALUE"""),8)</f>
        <v>8</v>
      </c>
      <c r="D45" s="0" t="n">
        <f aca="false">IFERROR(__xludf.dummyfunction("""COMPUTED_VALUE"""),117)</f>
        <v>117</v>
      </c>
      <c r="E45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45" s="1" t="n">
        <f aca="false">TRUE()</f>
        <v>1</v>
      </c>
      <c r="G45" s="1" t="n">
        <f aca="false">FALSE()</f>
        <v>0</v>
      </c>
      <c r="H45" s="1" t="n">
        <f aca="false">FALSE()</f>
        <v>0</v>
      </c>
      <c r="I45" s="1" t="n">
        <f aca="false">FALSE()</f>
        <v>0</v>
      </c>
      <c r="J45" s="1" t="n">
        <f aca="false">FALSE()</f>
        <v>0</v>
      </c>
      <c r="K45" s="0" t="n">
        <f aca="false">IFERROR(__xludf.dummyfunction("""COMPUTED_VALUE"""),130)</f>
        <v>130</v>
      </c>
    </row>
    <row r="46" customFormat="false" ht="15.75" hidden="false" customHeight="false" outlineLevel="0" collapsed="false">
      <c r="A46" s="0" t="str">
        <f aca="false">IFERROR(__xludf.dummyfunction("""COMPUTED_VALUE"""),"Ильин")</f>
        <v>Ильин</v>
      </c>
      <c r="B46" s="0" t="str">
        <f aca="false">IFERROR(__xludf.dummyfunction("""COMPUTED_VALUE"""),"Никита")</f>
        <v>Никита</v>
      </c>
      <c r="C46" s="0" t="n">
        <f aca="false">IFERROR(__xludf.dummyfunction("""COMPUTED_VALUE"""),8)</f>
        <v>8</v>
      </c>
      <c r="D46" s="0" t="n">
        <f aca="false">IFERROR(__xludf.dummyfunction("""COMPUTED_VALUE"""),117)</f>
        <v>117</v>
      </c>
      <c r="E46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46" s="1" t="n">
        <f aca="false">TRUE()</f>
        <v>1</v>
      </c>
      <c r="G46" s="1" t="n">
        <f aca="false">FALSE()</f>
        <v>0</v>
      </c>
      <c r="H46" s="1" t="n">
        <f aca="false">TRUE()</f>
        <v>1</v>
      </c>
      <c r="I46" s="1" t="n">
        <f aca="false">TRUE()</f>
        <v>1</v>
      </c>
      <c r="J46" s="1" t="n">
        <f aca="false">TRUE()</f>
        <v>1</v>
      </c>
      <c r="K46" s="0" t="n">
        <f aca="false">IFERROR(__xludf.dummyfunction("""COMPUTED_VALUE"""),37)</f>
        <v>37</v>
      </c>
    </row>
    <row r="47" customFormat="false" ht="15.75" hidden="false" customHeight="false" outlineLevel="0" collapsed="false">
      <c r="A47" s="0" t="str">
        <f aca="false">IFERROR(__xludf.dummyfunction("""COMPUTED_VALUE"""),"Климова")</f>
        <v>Климова</v>
      </c>
      <c r="B47" s="0" t="str">
        <f aca="false">IFERROR(__xludf.dummyfunction("""COMPUTED_VALUE"""),"Яна")</f>
        <v>Яна</v>
      </c>
      <c r="C47" s="0" t="n">
        <f aca="false">IFERROR(__xludf.dummyfunction("""COMPUTED_VALUE"""),8)</f>
        <v>8</v>
      </c>
      <c r="D47" s="0" t="n">
        <f aca="false">IFERROR(__xludf.dummyfunction("""COMPUTED_VALUE"""),117)</f>
        <v>117</v>
      </c>
      <c r="E47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47" s="1" t="n">
        <f aca="false">FALSE()</f>
        <v>0</v>
      </c>
      <c r="G47" s="1" t="n">
        <f aca="false">FALSE()</f>
        <v>0</v>
      </c>
      <c r="H47" s="1" t="n">
        <f aca="false">FALSE()</f>
        <v>0</v>
      </c>
      <c r="I47" s="1" t="n">
        <f aca="false">FALSE()</f>
        <v>0</v>
      </c>
      <c r="J47" s="1" t="n">
        <f aca="false">FALSE()</f>
        <v>0</v>
      </c>
      <c r="K47" s="0" t="n">
        <f aca="false">IFERROR(__xludf.dummyfunction("""COMPUTED_VALUE"""),32)</f>
        <v>32</v>
      </c>
    </row>
    <row r="48" customFormat="false" ht="15.75" hidden="false" customHeight="false" outlineLevel="0" collapsed="false">
      <c r="A48" s="0" t="str">
        <f aca="false">IFERROR(__xludf.dummyfunction("""COMPUTED_VALUE"""),"Комнацкий")</f>
        <v>Комнацкий</v>
      </c>
      <c r="B48" s="0" t="str">
        <f aca="false">IFERROR(__xludf.dummyfunction("""COMPUTED_VALUE"""),"Александр")</f>
        <v>Александр</v>
      </c>
      <c r="C48" s="0" t="n">
        <f aca="false">IFERROR(__xludf.dummyfunction("""COMPUTED_VALUE"""),10)</f>
        <v>10</v>
      </c>
      <c r="D48" s="0" t="str">
        <f aca="false">IFERROR(__xludf.dummyfunction("""COMPUTED_VALUE"""),"СУНЦ МГУ")</f>
        <v>СУНЦ МГУ</v>
      </c>
      <c r="E48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48" s="1" t="n">
        <f aca="false">FALSE()</f>
        <v>0</v>
      </c>
      <c r="G48" s="1" t="n">
        <f aca="false">FALSE()</f>
        <v>0</v>
      </c>
      <c r="H48" s="1" t="n">
        <f aca="false">FALSE()</f>
        <v>0</v>
      </c>
      <c r="I48" s="1" t="n">
        <f aca="false">FALSE()</f>
        <v>0</v>
      </c>
      <c r="J48" s="1" t="n">
        <f aca="false">FALSE()</f>
        <v>0</v>
      </c>
      <c r="K48" s="0" t="n">
        <f aca="false">IFERROR(__xludf.dummyfunction("""COMPUTED_VALUE"""),99)</f>
        <v>99</v>
      </c>
    </row>
    <row r="49" customFormat="false" ht="15.75" hidden="false" customHeight="false" outlineLevel="0" collapsed="false">
      <c r="A49" s="0" t="str">
        <f aca="false">IFERROR(__xludf.dummyfunction("""COMPUTED_VALUE"""),"Кузин")</f>
        <v>Кузин</v>
      </c>
      <c r="B49" s="0" t="str">
        <f aca="false">IFERROR(__xludf.dummyfunction("""COMPUTED_VALUE"""),"Илья")</f>
        <v>Илья</v>
      </c>
      <c r="C49" s="0" t="n">
        <f aca="false">IFERROR(__xludf.dummyfunction("""COMPUTED_VALUE"""),11)</f>
        <v>11</v>
      </c>
      <c r="D49" s="0" t="n">
        <f aca="false">IFERROR(__xludf.dummyfunction("""COMPUTED_VALUE"""),149)</f>
        <v>149</v>
      </c>
      <c r="E49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49" s="1" t="n">
        <f aca="false">TRUE()</f>
        <v>1</v>
      </c>
      <c r="G49" s="1" t="n">
        <f aca="false">FALSE()</f>
        <v>0</v>
      </c>
      <c r="H49" s="1" t="n">
        <f aca="false">TRUE()</f>
        <v>1</v>
      </c>
      <c r="I49" s="1" t="n">
        <f aca="false">TRUE()</f>
        <v>1</v>
      </c>
      <c r="J49" s="1" t="n">
        <f aca="false">FALSE()</f>
        <v>0</v>
      </c>
      <c r="K49" s="0" t="n">
        <f aca="false">IFERROR(__xludf.dummyfunction("""COMPUTED_VALUE"""),54)</f>
        <v>54</v>
      </c>
    </row>
    <row r="50" customFormat="false" ht="15.75" hidden="false" customHeight="false" outlineLevel="0" collapsed="false">
      <c r="A50" s="0" t="str">
        <f aca="false">IFERROR(__xludf.dummyfunction("""COMPUTED_VALUE"""),"Лещенко")</f>
        <v>Лещенко</v>
      </c>
      <c r="B50" s="0" t="str">
        <f aca="false">IFERROR(__xludf.dummyfunction("""COMPUTED_VALUE"""),"Сергей")</f>
        <v>Сергей</v>
      </c>
      <c r="C50" s="0" t="n">
        <f aca="false">IFERROR(__xludf.dummyfunction("""COMPUTED_VALUE"""),9)</f>
        <v>9</v>
      </c>
      <c r="D50" s="0" t="n">
        <f aca="false">IFERROR(__xludf.dummyfunction("""COMPUTED_VALUE"""),117)</f>
        <v>117</v>
      </c>
      <c r="E50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0" s="1" t="n">
        <f aca="false">TRUE()</f>
        <v>1</v>
      </c>
      <c r="G50" s="1" t="n">
        <f aca="false">FALSE()</f>
        <v>0</v>
      </c>
      <c r="H50" s="1" t="n">
        <f aca="false">TRUE()</f>
        <v>1</v>
      </c>
      <c r="I50" s="1" t="n">
        <f aca="false">TRUE()</f>
        <v>1</v>
      </c>
      <c r="J50" s="1" t="n">
        <f aca="false">TRUE()</f>
        <v>1</v>
      </c>
      <c r="K50" s="0" t="n">
        <f aca="false">IFERROR(__xludf.dummyfunction("""COMPUTED_VALUE"""),143)</f>
        <v>143</v>
      </c>
    </row>
    <row r="51" customFormat="false" ht="15.75" hidden="false" customHeight="false" outlineLevel="0" collapsed="false">
      <c r="A51" s="0" t="str">
        <f aca="false">IFERROR(__xludf.dummyfunction("""COMPUTED_VALUE"""),"Моисеева")</f>
        <v>Моисеева</v>
      </c>
      <c r="B51" s="0" t="str">
        <f aca="false">IFERROR(__xludf.dummyfunction("""COMPUTED_VALUE"""),"Вероника")</f>
        <v>Вероника</v>
      </c>
      <c r="C51" s="0" t="n">
        <f aca="false">IFERROR(__xludf.dummyfunction("""COMPUTED_VALUE"""),9)</f>
        <v>9</v>
      </c>
      <c r="D51" s="0" t="n">
        <f aca="false">IFERROR(__xludf.dummyfunction("""COMPUTED_VALUE"""),117)</f>
        <v>117</v>
      </c>
      <c r="E51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1" s="1" t="n">
        <f aca="false">TRUE()</f>
        <v>1</v>
      </c>
      <c r="G51" s="1" t="n">
        <f aca="false">FALSE()</f>
        <v>0</v>
      </c>
      <c r="H51" s="1" t="n">
        <f aca="false">TRUE()</f>
        <v>1</v>
      </c>
      <c r="I51" s="1" t="n">
        <f aca="false">TRUE()</f>
        <v>1</v>
      </c>
      <c r="J51" s="1" t="n">
        <f aca="false">TRUE()</f>
        <v>1</v>
      </c>
      <c r="K51" s="0" t="n">
        <f aca="false">IFERROR(__xludf.dummyfunction("""COMPUTED_VALUE"""),91)</f>
        <v>91</v>
      </c>
    </row>
    <row r="52" customFormat="false" ht="15.75" hidden="false" customHeight="false" outlineLevel="0" collapsed="false">
      <c r="A52" s="0" t="str">
        <f aca="false">IFERROR(__xludf.dummyfunction("""COMPUTED_VALUE"""),"Мороз")</f>
        <v>Мороз</v>
      </c>
      <c r="B52" s="0" t="str">
        <f aca="false">IFERROR(__xludf.dummyfunction("""COMPUTED_VALUE"""),"Георгий")</f>
        <v>Георгий</v>
      </c>
      <c r="C52" s="0" t="n">
        <f aca="false">IFERROR(__xludf.dummyfunction("""COMPUTED_VALUE"""),7)</f>
        <v>7</v>
      </c>
      <c r="D52" s="0" t="n">
        <f aca="false">IFERROR(__xludf.dummyfunction("""COMPUTED_VALUE"""),117)</f>
        <v>117</v>
      </c>
      <c r="E52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2" s="1" t="n">
        <f aca="false">TRUE()</f>
        <v>1</v>
      </c>
      <c r="G52" s="1" t="n">
        <f aca="false">FALSE()</f>
        <v>0</v>
      </c>
      <c r="H52" s="1" t="n">
        <f aca="false">FALSE()</f>
        <v>0</v>
      </c>
      <c r="I52" s="1" t="n">
        <f aca="false">FALSE()</f>
        <v>0</v>
      </c>
      <c r="J52" s="1" t="n">
        <f aca="false">FALSE()</f>
        <v>0</v>
      </c>
      <c r="K52" s="0" t="n">
        <f aca="false">IFERROR(__xludf.dummyfunction("""COMPUTED_VALUE"""),171)</f>
        <v>171</v>
      </c>
    </row>
    <row r="53" customFormat="false" ht="15.75" hidden="false" customHeight="false" outlineLevel="0" collapsed="false">
      <c r="A53" s="0" t="str">
        <f aca="false">IFERROR(__xludf.dummyfunction("""COMPUTED_VALUE"""),"Муравьева")</f>
        <v>Муравьева</v>
      </c>
      <c r="B53" s="0" t="str">
        <f aca="false">IFERROR(__xludf.dummyfunction("""COMPUTED_VALUE"""),"Мария")</f>
        <v>Мария</v>
      </c>
      <c r="C53" s="0" t="n">
        <f aca="false">IFERROR(__xludf.dummyfunction("""COMPUTED_VALUE"""),10)</f>
        <v>10</v>
      </c>
      <c r="D53" s="0" t="n">
        <f aca="false">IFERROR(__xludf.dummyfunction("""COMPUTED_VALUE"""),117)</f>
        <v>117</v>
      </c>
      <c r="E53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3" s="1" t="n">
        <f aca="false">FALSE()</f>
        <v>0</v>
      </c>
      <c r="G53" s="1" t="n">
        <f aca="false">FALSE()</f>
        <v>0</v>
      </c>
      <c r="H53" s="1" t="n">
        <f aca="false">FALSE()</f>
        <v>0</v>
      </c>
      <c r="I53" s="1" t="n">
        <f aca="false">FALSE()</f>
        <v>0</v>
      </c>
      <c r="J53" s="1" t="n">
        <f aca="false">FALSE()</f>
        <v>0</v>
      </c>
      <c r="K53" s="0" t="n">
        <f aca="false">IFERROR(__xludf.dummyfunction("""COMPUTED_VALUE"""),88)</f>
        <v>88</v>
      </c>
    </row>
    <row r="54" customFormat="false" ht="15.75" hidden="false" customHeight="false" outlineLevel="0" collapsed="false">
      <c r="A54" s="0" t="str">
        <f aca="false">IFERROR(__xludf.dummyfunction("""COMPUTED_VALUE"""),"Никитин")</f>
        <v>Никитин</v>
      </c>
      <c r="B54" s="0" t="str">
        <f aca="false">IFERROR(__xludf.dummyfunction("""COMPUTED_VALUE"""),"Никита")</f>
        <v>Никита</v>
      </c>
      <c r="C54" s="0" t="n">
        <f aca="false">IFERROR(__xludf.dummyfunction("""COMPUTED_VALUE"""),10)</f>
        <v>10</v>
      </c>
      <c r="D54" s="0" t="n">
        <f aca="false">IFERROR(__xludf.dummyfunction("""COMPUTED_VALUE"""),64)</f>
        <v>64</v>
      </c>
      <c r="E54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4" s="1" t="n">
        <f aca="false">FALSE()</f>
        <v>0</v>
      </c>
      <c r="G54" s="1" t="n">
        <f aca="false">FALSE()</f>
        <v>0</v>
      </c>
      <c r="H54" s="1" t="n">
        <f aca="false">FALSE()</f>
        <v>0</v>
      </c>
      <c r="I54" s="1" t="n">
        <f aca="false">FALSE()</f>
        <v>0</v>
      </c>
      <c r="J54" s="1" t="n">
        <f aca="false">FALSE()</f>
        <v>0</v>
      </c>
      <c r="K54" s="0" t="n">
        <f aca="false">IFERROR(__xludf.dummyfunction("""COMPUTED_VALUE"""),19)</f>
        <v>19</v>
      </c>
    </row>
    <row r="55" customFormat="false" ht="15.75" hidden="false" customHeight="false" outlineLevel="0" collapsed="false">
      <c r="A55" s="0" t="str">
        <f aca="false">IFERROR(__xludf.dummyfunction("""COMPUTED_VALUE"""),"Осипова")</f>
        <v>Осипова</v>
      </c>
      <c r="B55" s="0" t="str">
        <f aca="false">IFERROR(__xludf.dummyfunction("""COMPUTED_VALUE"""),"Валентина")</f>
        <v>Валентина</v>
      </c>
      <c r="C55" s="0" t="n">
        <f aca="false">IFERROR(__xludf.dummyfunction("""COMPUTED_VALUE"""),8)</f>
        <v>8</v>
      </c>
      <c r="D55" s="0" t="n">
        <f aca="false">IFERROR(__xludf.dummyfunction("""COMPUTED_VALUE"""),117)</f>
        <v>117</v>
      </c>
      <c r="E55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5" s="1" t="n">
        <f aca="false">TRUE()</f>
        <v>1</v>
      </c>
      <c r="G55" s="1" t="n">
        <f aca="false">FALSE()</f>
        <v>0</v>
      </c>
      <c r="H55" s="1" t="n">
        <f aca="false">FALSE()</f>
        <v>0</v>
      </c>
      <c r="I55" s="1" t="n">
        <f aca="false">FALSE()</f>
        <v>0</v>
      </c>
      <c r="J55" s="1" t="n">
        <f aca="false">FALSE()</f>
        <v>0</v>
      </c>
      <c r="K55" s="0" t="n">
        <f aca="false">IFERROR(__xludf.dummyfunction("""COMPUTED_VALUE"""),144)</f>
        <v>144</v>
      </c>
    </row>
    <row r="56" customFormat="false" ht="15.75" hidden="false" customHeight="false" outlineLevel="0" collapsed="false">
      <c r="A56" s="0" t="str">
        <f aca="false">IFERROR(__xludf.dummyfunction("""COMPUTED_VALUE"""),"Рождественская ")</f>
        <v>Рождественская</v>
      </c>
      <c r="B56" s="0" t="str">
        <f aca="false">IFERROR(__xludf.dummyfunction("""COMPUTED_VALUE"""),"Мария")</f>
        <v>Мария</v>
      </c>
      <c r="C56" s="0" t="n">
        <f aca="false">IFERROR(__xludf.dummyfunction("""COMPUTED_VALUE"""),10)</f>
        <v>10</v>
      </c>
      <c r="D56" s="0" t="n">
        <f aca="false">IFERROR(__xludf.dummyfunction("""COMPUTED_VALUE"""),117)</f>
        <v>117</v>
      </c>
      <c r="E56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6" s="1" t="n">
        <f aca="false">TRUE()</f>
        <v>1</v>
      </c>
      <c r="G56" s="1" t="n">
        <f aca="false">FALSE()</f>
        <v>0</v>
      </c>
      <c r="H56" s="1" t="n">
        <f aca="false">FALSE()</f>
        <v>0</v>
      </c>
      <c r="I56" s="1" t="n">
        <f aca="false">FALSE()</f>
        <v>0</v>
      </c>
      <c r="J56" s="1" t="n">
        <f aca="false">FALSE()</f>
        <v>0</v>
      </c>
      <c r="K56" s="0" t="n">
        <f aca="false">IFERROR(__xludf.dummyfunction("""COMPUTED_VALUE"""),17)</f>
        <v>17</v>
      </c>
    </row>
    <row r="57" customFormat="false" ht="15.75" hidden="false" customHeight="false" outlineLevel="0" collapsed="false">
      <c r="A57" s="0" t="str">
        <f aca="false">IFERROR(__xludf.dummyfunction("""COMPUTED_VALUE"""),"Савиных")</f>
        <v>Савиных</v>
      </c>
      <c r="B57" s="0" t="str">
        <f aca="false">IFERROR(__xludf.dummyfunction("""COMPUTED_VALUE"""),"Кристина")</f>
        <v>Кристина</v>
      </c>
      <c r="C57" s="0" t="n">
        <f aca="false">IFERROR(__xludf.dummyfunction("""COMPUTED_VALUE"""),9)</f>
        <v>9</v>
      </c>
      <c r="D57" s="0" t="n">
        <f aca="false">IFERROR(__xludf.dummyfunction("""COMPUTED_VALUE"""),139)</f>
        <v>139</v>
      </c>
      <c r="E57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7" s="1" t="n">
        <f aca="false">TRUE()</f>
        <v>1</v>
      </c>
      <c r="G57" s="1" t="n">
        <f aca="false">FALSE()</f>
        <v>0</v>
      </c>
      <c r="H57" s="1" t="n">
        <f aca="false">TRUE()</f>
        <v>1</v>
      </c>
      <c r="I57" s="1" t="n">
        <f aca="false">TRUE()</f>
        <v>1</v>
      </c>
      <c r="J57" s="1" t="n">
        <f aca="false">TRUE()</f>
        <v>1</v>
      </c>
      <c r="K57" s="0" t="n">
        <f aca="false">IFERROR(__xludf.dummyfunction("""COMPUTED_VALUE"""),148)</f>
        <v>148</v>
      </c>
    </row>
    <row r="58" customFormat="false" ht="15.75" hidden="false" customHeight="false" outlineLevel="0" collapsed="false">
      <c r="A58" s="0" t="str">
        <f aca="false">IFERROR(__xludf.dummyfunction("""COMPUTED_VALUE"""),"Шестаков")</f>
        <v>Шестаков</v>
      </c>
      <c r="B58" s="0" t="str">
        <f aca="false">IFERROR(__xludf.dummyfunction("""COMPUTED_VALUE"""),"Денис")</f>
        <v>Денис</v>
      </c>
      <c r="C58" s="0" t="n">
        <f aca="false">IFERROR(__xludf.dummyfunction("""COMPUTED_VALUE"""),10)</f>
        <v>10</v>
      </c>
      <c r="D58" s="0" t="n">
        <f aca="false">IFERROR(__xludf.dummyfunction("""COMPUTED_VALUE"""),64)</f>
        <v>64</v>
      </c>
      <c r="E58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8" s="1" t="n">
        <f aca="false">TRUE()</f>
        <v>1</v>
      </c>
      <c r="G58" s="1" t="n">
        <f aca="false">FALSE()</f>
        <v>0</v>
      </c>
      <c r="H58" s="1" t="n">
        <f aca="false">FALSE()</f>
        <v>0</v>
      </c>
      <c r="I58" s="1" t="n">
        <f aca="false">TRUE()</f>
        <v>1</v>
      </c>
      <c r="J58" s="1" t="n">
        <f aca="false">TRUE()</f>
        <v>1</v>
      </c>
      <c r="K58" s="0" t="n">
        <f aca="false">IFERROR(__xludf.dummyfunction("""COMPUTED_VALUE"""),165)</f>
        <v>165</v>
      </c>
    </row>
    <row r="59" customFormat="false" ht="15.75" hidden="false" customHeight="false" outlineLevel="0" collapsed="false">
      <c r="A59" s="0" t="str">
        <f aca="false">IFERROR(__xludf.dummyfunction("""COMPUTED_VALUE"""),"Шмалько")</f>
        <v>Шмалько</v>
      </c>
      <c r="B59" s="0" t="str">
        <f aca="false">IFERROR(__xludf.dummyfunction("""COMPUTED_VALUE"""),"Михаил")</f>
        <v>Михаил</v>
      </c>
      <c r="C59" s="0" t="n">
        <f aca="false">IFERROR(__xludf.dummyfunction("""COMPUTED_VALUE"""),9)</f>
        <v>9</v>
      </c>
      <c r="D59" s="0" t="n">
        <f aca="false">IFERROR(__xludf.dummyfunction("""COMPUTED_VALUE"""),117)</f>
        <v>117</v>
      </c>
      <c r="E59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59" s="1" t="n">
        <f aca="false">TRUE()</f>
        <v>1</v>
      </c>
      <c r="G59" s="1" t="n">
        <f aca="false">FALSE()</f>
        <v>0</v>
      </c>
      <c r="H59" s="1" t="n">
        <f aca="false">FALSE()</f>
        <v>0</v>
      </c>
      <c r="I59" s="1" t="n">
        <f aca="false">FALSE()</f>
        <v>0</v>
      </c>
      <c r="J59" s="1" t="n">
        <f aca="false">FALSE()</f>
        <v>0</v>
      </c>
      <c r="K59" s="0" t="n">
        <f aca="false">IFERROR(__xludf.dummyfunction("""COMPUTED_VALUE"""),31)</f>
        <v>31</v>
      </c>
    </row>
    <row r="60" customFormat="false" ht="15.75" hidden="false" customHeight="false" outlineLevel="0" collapsed="false">
      <c r="A60" s="0" t="str">
        <f aca="false">IFERROR(__xludf.dummyfunction("""COMPUTED_VALUE"""),"Щипачёв")</f>
        <v>Щипачёв</v>
      </c>
      <c r="B60" s="0" t="str">
        <f aca="false">IFERROR(__xludf.dummyfunction("""COMPUTED_VALUE"""),"Артём")</f>
        <v>Артём</v>
      </c>
      <c r="C60" s="0" t="n">
        <f aca="false">IFERROR(__xludf.dummyfunction("""COMPUTED_VALUE"""),7)</f>
        <v>7</v>
      </c>
      <c r="D60" s="0" t="n">
        <f aca="false">IFERROR(__xludf.dummyfunction("""COMPUTED_VALUE"""),117)</f>
        <v>117</v>
      </c>
      <c r="E60" s="12" t="str">
        <f aca="false">IFERROR(__xludf.dummyfunction("""COMPUTED_VALUE"""),"Введение в современный политический анализ")</f>
        <v>Введение в современный политический анализ</v>
      </c>
      <c r="F60" s="1" t="n">
        <f aca="false">TRUE()</f>
        <v>1</v>
      </c>
      <c r="G60" s="1" t="n">
        <f aca="false">FALSE()</f>
        <v>0</v>
      </c>
      <c r="H60" s="1" t="n">
        <f aca="false">TRUE()</f>
        <v>1</v>
      </c>
      <c r="I60" s="1" t="n">
        <f aca="false">FALSE()</f>
        <v>0</v>
      </c>
      <c r="J60" s="1" t="n">
        <f aca="false">TRUE()</f>
        <v>1</v>
      </c>
      <c r="K60" s="0" t="n">
        <f aca="false">IFERROR(__xludf.dummyfunction("""COMPUTED_VALUE"""),164)</f>
        <v>164</v>
      </c>
    </row>
    <row r="61" customFormat="false" ht="15.75" hidden="false" customHeight="false" outlineLevel="0" collapsed="false">
      <c r="A61" s="0" t="str">
        <f aca="false">IFERROR(__xludf.dummyfunction("""COMPUTED_VALUE"""),"Стативка")</f>
        <v>Стативка</v>
      </c>
      <c r="B61" s="0" t="str">
        <f aca="false">IFERROR(__xludf.dummyfunction("""COMPUTED_VALUE"""),"Максим")</f>
        <v>Максим</v>
      </c>
      <c r="C61" s="0" t="n">
        <f aca="false">IFERROR(__xludf.dummyfunction("""COMPUTED_VALUE"""),7)</f>
        <v>7</v>
      </c>
      <c r="D61" s="0" t="n">
        <f aca="false">IFERROR(__xludf.dummyfunction("""COMPUTED_VALUE"""),117)</f>
        <v>117</v>
      </c>
      <c r="E61" s="12" t="str">
        <f aca="false">IFERROR(__xludf.dummyfunction("""COMPUTED_VALUE"""),"Логистика акции по раздельному сбору отходов")</f>
        <v>Логистика акции по раздельному сбору отходов</v>
      </c>
      <c r="F61" s="1" t="n">
        <f aca="false">FALSE()</f>
        <v>0</v>
      </c>
      <c r="G61" s="1" t="n">
        <f aca="false">FALSE()</f>
        <v>0</v>
      </c>
      <c r="H61" s="1" t="n">
        <f aca="false">FALSE()</f>
        <v>0</v>
      </c>
      <c r="I61" s="1" t="n">
        <f aca="false">FALSE()</f>
        <v>0</v>
      </c>
      <c r="J61" s="1" t="n">
        <f aca="false">FALSE()</f>
        <v>0</v>
      </c>
      <c r="K61" s="0" t="n">
        <f aca="false">IFERROR(__xludf.dummyfunction("""COMPUTED_VALUE"""),137)</f>
        <v>137</v>
      </c>
    </row>
    <row r="62" customFormat="false" ht="15.75" hidden="false" customHeight="false" outlineLevel="0" collapsed="false">
      <c r="A62" s="0" t="str">
        <f aca="false">IFERROR(__xludf.dummyfunction("""COMPUTED_VALUE"""),"Фазуллина")</f>
        <v>Фазуллина</v>
      </c>
      <c r="B62" s="0" t="str">
        <f aca="false">IFERROR(__xludf.dummyfunction("""COMPUTED_VALUE"""),"Яна")</f>
        <v>Яна</v>
      </c>
      <c r="C62" s="0" t="n">
        <f aca="false">IFERROR(__xludf.dummyfunction("""COMPUTED_VALUE"""),7)</f>
        <v>7</v>
      </c>
      <c r="D62" s="0" t="n">
        <f aca="false">IFERROR(__xludf.dummyfunction("""COMPUTED_VALUE"""),149)</f>
        <v>149</v>
      </c>
      <c r="E62" s="12" t="str">
        <f aca="false">IFERROR(__xludf.dummyfunction("""COMPUTED_VALUE"""),"Логистика акции по раздельному сбору отходов")</f>
        <v>Логистика акции по раздельному сбору отходов</v>
      </c>
      <c r="F62" s="1" t="n">
        <f aca="false">FALSE()</f>
        <v>0</v>
      </c>
      <c r="G62" s="1" t="n">
        <f aca="false">FALSE()</f>
        <v>0</v>
      </c>
      <c r="H62" s="1" t="n">
        <f aca="false">FALSE()</f>
        <v>0</v>
      </c>
      <c r="I62" s="1" t="n">
        <f aca="false">FALSE()</f>
        <v>0</v>
      </c>
      <c r="J62" s="1" t="n">
        <f aca="false">FALSE()</f>
        <v>0</v>
      </c>
      <c r="K62" s="0" t="n">
        <f aca="false">IFERROR(__xludf.dummyfunction("""COMPUTED_VALUE"""),129)</f>
        <v>129</v>
      </c>
    </row>
    <row r="63" customFormat="false" ht="15.75" hidden="false" customHeight="false" outlineLevel="0" collapsed="false">
      <c r="A63" s="0" t="str">
        <f aca="false">IFERROR(__xludf.dummyfunction("""COMPUTED_VALUE"""),"Васильева")</f>
        <v>Васильева</v>
      </c>
      <c r="B63" s="0" t="str">
        <f aca="false">IFERROR(__xludf.dummyfunction("""COMPUTED_VALUE"""),"Мария ")</f>
        <v>Мария</v>
      </c>
      <c r="C63" s="0" t="n">
        <f aca="false">IFERROR(__xludf.dummyfunction("""COMPUTED_VALUE"""),10)</f>
        <v>10</v>
      </c>
      <c r="D63" s="0" t="n">
        <f aca="false">IFERROR(__xludf.dummyfunction("""COMPUTED_VALUE"""),117)</f>
        <v>117</v>
      </c>
      <c r="E63" s="12" t="str">
        <f aca="false">IFERROR(__xludf.dummyfunction("""COMPUTED_VALUE"""),"Маркетинг")</f>
        <v>Маркетинг</v>
      </c>
      <c r="F63" s="1" t="n">
        <f aca="false">TRUE()</f>
        <v>1</v>
      </c>
      <c r="G63" s="1" t="n">
        <f aca="false">TRUE()</f>
        <v>1</v>
      </c>
      <c r="H63" s="1" t="n">
        <f aca="false">TRUE()</f>
        <v>1</v>
      </c>
      <c r="I63" s="1" t="n">
        <f aca="false">TRUE()</f>
        <v>1</v>
      </c>
      <c r="J63" s="1" t="n">
        <f aca="false">TRUE()</f>
        <v>1</v>
      </c>
      <c r="K63" s="0" t="n">
        <f aca="false">IFERROR(__xludf.dummyfunction("""COMPUTED_VALUE"""),25)</f>
        <v>25</v>
      </c>
    </row>
    <row r="64" customFormat="false" ht="15.75" hidden="false" customHeight="false" outlineLevel="0" collapsed="false">
      <c r="A64" s="0" t="str">
        <f aca="false">IFERROR(__xludf.dummyfunction("""COMPUTED_VALUE"""),"Власенко")</f>
        <v>Власенко</v>
      </c>
      <c r="B64" s="0" t="str">
        <f aca="false">IFERROR(__xludf.dummyfunction("""COMPUTED_VALUE"""),"Иван")</f>
        <v>Иван</v>
      </c>
      <c r="C64" s="0" t="n">
        <f aca="false">IFERROR(__xludf.dummyfunction("""COMPUTED_VALUE"""),8)</f>
        <v>8</v>
      </c>
      <c r="D64" s="0" t="n">
        <f aca="false">IFERROR(__xludf.dummyfunction("""COMPUTED_VALUE"""),84)</f>
        <v>84</v>
      </c>
      <c r="E64" s="12" t="str">
        <f aca="false">IFERROR(__xludf.dummyfunction("""COMPUTED_VALUE"""),"Маркетинг")</f>
        <v>Маркетинг</v>
      </c>
      <c r="F64" s="1" t="n">
        <f aca="false">FALSE()</f>
        <v>0</v>
      </c>
      <c r="G64" s="1" t="n">
        <f aca="false">FALSE()</f>
        <v>0</v>
      </c>
      <c r="H64" s="1" t="n">
        <f aca="false">FALSE()</f>
        <v>0</v>
      </c>
      <c r="I64" s="1" t="n">
        <f aca="false">FALSE()</f>
        <v>0</v>
      </c>
      <c r="J64" s="1" t="n">
        <f aca="false">FALSE()</f>
        <v>0</v>
      </c>
      <c r="K64" s="0" t="n">
        <f aca="false">IFERROR(__xludf.dummyfunction("""COMPUTED_VALUE"""),107)</f>
        <v>107</v>
      </c>
    </row>
    <row r="65" customFormat="false" ht="15.75" hidden="false" customHeight="false" outlineLevel="0" collapsed="false">
      <c r="A65" s="0" t="str">
        <f aca="false">IFERROR(__xludf.dummyfunction("""COMPUTED_VALUE"""),"Гуртовенко")</f>
        <v>Гуртовенко</v>
      </c>
      <c r="B65" s="0" t="str">
        <f aca="false">IFERROR(__xludf.dummyfunction("""COMPUTED_VALUE"""),"Юлия")</f>
        <v>Юлия</v>
      </c>
      <c r="C65" s="0" t="n">
        <f aca="false">IFERROR(__xludf.dummyfunction("""COMPUTED_VALUE"""),9)</f>
        <v>9</v>
      </c>
      <c r="D65" s="0" t="n">
        <f aca="false">IFERROR(__xludf.dummyfunction("""COMPUTED_VALUE"""),117)</f>
        <v>117</v>
      </c>
      <c r="E65" s="12" t="str">
        <f aca="false">IFERROR(__xludf.dummyfunction("""COMPUTED_VALUE"""),"Маркетинг")</f>
        <v>Маркетинг</v>
      </c>
      <c r="F65" s="1" t="n">
        <f aca="false">TRUE()</f>
        <v>1</v>
      </c>
      <c r="G65" s="1" t="n">
        <f aca="false">TRUE()</f>
        <v>1</v>
      </c>
      <c r="H65" s="1" t="n">
        <f aca="false">TRUE()</f>
        <v>1</v>
      </c>
      <c r="I65" s="1" t="n">
        <f aca="false">TRUE()</f>
        <v>1</v>
      </c>
      <c r="J65" s="1" t="n">
        <f aca="false">TRUE()</f>
        <v>1</v>
      </c>
      <c r="K65" s="0" t="n">
        <f aca="false">IFERROR(__xludf.dummyfunction("""COMPUTED_VALUE"""),29)</f>
        <v>29</v>
      </c>
    </row>
    <row r="66" customFormat="false" ht="15.75" hidden="false" customHeight="false" outlineLevel="0" collapsed="false">
      <c r="A66" s="0" t="str">
        <f aca="false">IFERROR(__xludf.dummyfunction("""COMPUTED_VALUE"""),"Дмитриева ")</f>
        <v>Дмитриева</v>
      </c>
      <c r="B66" s="0" t="str">
        <f aca="false">IFERROR(__xludf.dummyfunction("""COMPUTED_VALUE"""),"Елизавета ")</f>
        <v>Елизавета</v>
      </c>
      <c r="C66" s="0" t="n">
        <f aca="false">IFERROR(__xludf.dummyfunction("""COMPUTED_VALUE"""),9)</f>
        <v>9</v>
      </c>
      <c r="D66" s="0" t="n">
        <f aca="false">IFERROR(__xludf.dummyfunction("""COMPUTED_VALUE"""),139)</f>
        <v>139</v>
      </c>
      <c r="E66" s="12" t="str">
        <f aca="false">IFERROR(__xludf.dummyfunction("""COMPUTED_VALUE"""),"Маркетинг")</f>
        <v>Маркетинг</v>
      </c>
      <c r="F66" s="1" t="n">
        <f aca="false">TRUE()</f>
        <v>1</v>
      </c>
      <c r="G66" s="1" t="n">
        <f aca="false">TRUE()</f>
        <v>1</v>
      </c>
      <c r="H66" s="1" t="n">
        <f aca="false">TRUE()</f>
        <v>1</v>
      </c>
      <c r="I66" s="1" t="n">
        <f aca="false">FALSE()</f>
        <v>0</v>
      </c>
      <c r="J66" s="1" t="n">
        <f aca="false">FALSE()</f>
        <v>0</v>
      </c>
      <c r="K66" s="0" t="n">
        <f aca="false">IFERROR(__xludf.dummyfunction("""COMPUTED_VALUE"""),51)</f>
        <v>51</v>
      </c>
    </row>
    <row r="67" customFormat="false" ht="15.75" hidden="false" customHeight="false" outlineLevel="0" collapsed="false">
      <c r="A67" s="0" t="str">
        <f aca="false">IFERROR(__xludf.dummyfunction("""COMPUTED_VALUE"""),"Добролежа")</f>
        <v>Добролежа</v>
      </c>
      <c r="B67" s="0" t="str">
        <f aca="false">IFERROR(__xludf.dummyfunction("""COMPUTED_VALUE"""),"Олеся")</f>
        <v>Олеся</v>
      </c>
      <c r="C67" s="0" t="n">
        <f aca="false">IFERROR(__xludf.dummyfunction("""COMPUTED_VALUE"""),7)</f>
        <v>7</v>
      </c>
      <c r="D67" s="0" t="n">
        <f aca="false">IFERROR(__xludf.dummyfunction("""COMPUTED_VALUE"""),140)</f>
        <v>140</v>
      </c>
      <c r="E67" s="12" t="str">
        <f aca="false">IFERROR(__xludf.dummyfunction("""COMPUTED_VALUE"""),"Маркетинг")</f>
        <v>Маркетинг</v>
      </c>
      <c r="F67" s="1" t="n">
        <f aca="false">TRUE()</f>
        <v>1</v>
      </c>
      <c r="G67" s="1" t="n">
        <f aca="false">TRUE()</f>
        <v>1</v>
      </c>
      <c r="H67" s="1" t="n">
        <f aca="false">FALSE()</f>
        <v>0</v>
      </c>
      <c r="I67" s="1" t="n">
        <f aca="false">FALSE()</f>
        <v>0</v>
      </c>
      <c r="J67" s="1" t="n">
        <f aca="false">FALSE()</f>
        <v>0</v>
      </c>
      <c r="K67" s="0" t="n">
        <f aca="false">IFERROR(__xludf.dummyfunction("""COMPUTED_VALUE"""),113)</f>
        <v>113</v>
      </c>
    </row>
    <row r="68" customFormat="false" ht="15.75" hidden="false" customHeight="false" outlineLevel="0" collapsed="false">
      <c r="A68" s="0" t="str">
        <f aca="false">IFERROR(__xludf.dummyfunction("""COMPUTED_VALUE"""),"Захаров")</f>
        <v>Захаров</v>
      </c>
      <c r="B68" s="0" t="str">
        <f aca="false">IFERROR(__xludf.dummyfunction("""COMPUTED_VALUE"""),"Матвей")</f>
        <v>Матвей</v>
      </c>
      <c r="C68" s="0" t="n">
        <f aca="false">IFERROR(__xludf.dummyfunction("""COMPUTED_VALUE"""),9)</f>
        <v>9</v>
      </c>
      <c r="D68" s="0" t="n">
        <f aca="false">IFERROR(__xludf.dummyfunction("""COMPUTED_VALUE"""),117)</f>
        <v>117</v>
      </c>
      <c r="E68" s="12" t="str">
        <f aca="false">IFERROR(__xludf.dummyfunction("""COMPUTED_VALUE"""),"Маркетинг")</f>
        <v>Маркетинг</v>
      </c>
      <c r="F68" s="1" t="n">
        <f aca="false">FALSE()</f>
        <v>0</v>
      </c>
      <c r="G68" s="1" t="n">
        <f aca="false">TRUE()</f>
        <v>1</v>
      </c>
      <c r="H68" s="1" t="n">
        <f aca="false">TRUE()</f>
        <v>1</v>
      </c>
      <c r="I68" s="1" t="n">
        <f aca="false">FALSE()</f>
        <v>0</v>
      </c>
      <c r="J68" s="1" t="n">
        <f aca="false">FALSE()</f>
        <v>0</v>
      </c>
      <c r="K68" s="0" t="n">
        <f aca="false">IFERROR(__xludf.dummyfunction("""COMPUTED_VALUE"""),60)</f>
        <v>60</v>
      </c>
    </row>
    <row r="69" customFormat="false" ht="15.75" hidden="false" customHeight="false" outlineLevel="0" collapsed="false">
      <c r="A69" s="0" t="str">
        <f aca="false">IFERROR(__xludf.dummyfunction("""COMPUTED_VALUE"""),"Зернюк")</f>
        <v>Зернюк</v>
      </c>
      <c r="B69" s="0" t="str">
        <f aca="false">IFERROR(__xludf.dummyfunction("""COMPUTED_VALUE"""),"Андрей")</f>
        <v>Андрей</v>
      </c>
      <c r="C69" s="0" t="n">
        <f aca="false">IFERROR(__xludf.dummyfunction("""COMPUTED_VALUE"""),9)</f>
        <v>9</v>
      </c>
      <c r="D69" s="0" t="n">
        <f aca="false">IFERROR(__xludf.dummyfunction("""COMPUTED_VALUE"""),117)</f>
        <v>117</v>
      </c>
      <c r="E69" s="12" t="str">
        <f aca="false">IFERROR(__xludf.dummyfunction("""COMPUTED_VALUE"""),"Маркетинг")</f>
        <v>Маркетинг</v>
      </c>
      <c r="F69" s="1" t="n">
        <f aca="false">FALSE()</f>
        <v>0</v>
      </c>
      <c r="G69" s="1" t="n">
        <f aca="false">FALSE()</f>
        <v>0</v>
      </c>
      <c r="H69" s="1" t="n">
        <f aca="false">FALSE()</f>
        <v>0</v>
      </c>
      <c r="I69" s="1" t="n">
        <f aca="false">FALSE()</f>
        <v>0</v>
      </c>
      <c r="J69" s="1" t="n">
        <f aca="false">FALSE()</f>
        <v>0</v>
      </c>
      <c r="K69" s="0" t="n">
        <f aca="false">IFERROR(__xludf.dummyfunction("""COMPUTED_VALUE"""),69)</f>
        <v>69</v>
      </c>
    </row>
    <row r="70" customFormat="false" ht="15.75" hidden="false" customHeight="false" outlineLevel="0" collapsed="false">
      <c r="A70" s="0" t="str">
        <f aca="false">IFERROR(__xludf.dummyfunction("""COMPUTED_VALUE"""),"Квинт")</f>
        <v>Квинт</v>
      </c>
      <c r="B70" s="0" t="str">
        <f aca="false">IFERROR(__xludf.dummyfunction("""COMPUTED_VALUE"""),"Элиас")</f>
        <v>Элиас</v>
      </c>
      <c r="C70" s="0" t="n">
        <f aca="false">IFERROR(__xludf.dummyfunction("""COMPUTED_VALUE"""),9)</f>
        <v>9</v>
      </c>
      <c r="D70" s="0" t="n">
        <f aca="false">IFERROR(__xludf.dummyfunction("""COMPUTED_VALUE"""),92)</f>
        <v>92</v>
      </c>
      <c r="E70" s="12" t="str">
        <f aca="false">IFERROR(__xludf.dummyfunction("""COMPUTED_VALUE"""),"Маркетинг")</f>
        <v>Маркетинг</v>
      </c>
      <c r="F70" s="1" t="n">
        <f aca="false">FALSE()</f>
        <v>0</v>
      </c>
      <c r="G70" s="1" t="n">
        <f aca="false">FALSE()</f>
        <v>0</v>
      </c>
      <c r="H70" s="1" t="n">
        <f aca="false">FALSE()</f>
        <v>0</v>
      </c>
      <c r="I70" s="1" t="n">
        <f aca="false">FALSE()</f>
        <v>0</v>
      </c>
      <c r="J70" s="1" t="n">
        <f aca="false">FALSE()</f>
        <v>0</v>
      </c>
      <c r="K70" s="0" t="n">
        <f aca="false">IFERROR(__xludf.dummyfunction("""COMPUTED_VALUE"""),76)</f>
        <v>76</v>
      </c>
    </row>
    <row r="71" customFormat="false" ht="15.75" hidden="false" customHeight="false" outlineLevel="0" collapsed="false">
      <c r="A71" s="0" t="str">
        <f aca="false">IFERROR(__xludf.dummyfunction("""COMPUTED_VALUE"""),"Коломиец")</f>
        <v>Коломиец</v>
      </c>
      <c r="B71" s="0" t="str">
        <f aca="false">IFERROR(__xludf.dummyfunction("""COMPUTED_VALUE"""),"Мария")</f>
        <v>Мария</v>
      </c>
      <c r="C71" s="0" t="n">
        <f aca="false">IFERROR(__xludf.dummyfunction("""COMPUTED_VALUE"""),9)</f>
        <v>9</v>
      </c>
      <c r="D71" s="0" t="n">
        <f aca="false">IFERROR(__xludf.dummyfunction("""COMPUTED_VALUE"""),29)</f>
        <v>29</v>
      </c>
      <c r="E71" s="12" t="str">
        <f aca="false">IFERROR(__xludf.dummyfunction("""COMPUTED_VALUE"""),"Маркетинг")</f>
        <v>Маркетинг</v>
      </c>
      <c r="F71" s="1" t="n">
        <f aca="false">TRUE()</f>
        <v>1</v>
      </c>
      <c r="G71" s="1" t="n">
        <f aca="false">TRUE()</f>
        <v>1</v>
      </c>
      <c r="H71" s="1" t="n">
        <f aca="false">TRUE()</f>
        <v>1</v>
      </c>
      <c r="I71" s="1" t="n">
        <f aca="false">TRUE()</f>
        <v>1</v>
      </c>
      <c r="J71" s="1" t="n">
        <f aca="false">TRUE()</f>
        <v>1</v>
      </c>
      <c r="K71" s="0" t="n">
        <f aca="false">IFERROR(__xludf.dummyfunction("""COMPUTED_VALUE"""),106)</f>
        <v>106</v>
      </c>
    </row>
    <row r="72" customFormat="false" ht="15.75" hidden="false" customHeight="false" outlineLevel="0" collapsed="false">
      <c r="A72" s="0" t="str">
        <f aca="false">IFERROR(__xludf.dummyfunction("""COMPUTED_VALUE"""),"Кривцова")</f>
        <v>Кривцова</v>
      </c>
      <c r="B72" s="0" t="str">
        <f aca="false">IFERROR(__xludf.dummyfunction("""COMPUTED_VALUE"""),"Анна")</f>
        <v>Анна</v>
      </c>
      <c r="C72" s="0" t="n">
        <f aca="false">IFERROR(__xludf.dummyfunction("""COMPUTED_VALUE"""),10)</f>
        <v>10</v>
      </c>
      <c r="D72" s="0" t="n">
        <f aca="false">IFERROR(__xludf.dummyfunction("""COMPUTED_VALUE"""),64)</f>
        <v>64</v>
      </c>
      <c r="E72" s="12" t="str">
        <f aca="false">IFERROR(__xludf.dummyfunction("""COMPUTED_VALUE"""),"Маркетинг")</f>
        <v>Маркетинг</v>
      </c>
      <c r="F72" s="1" t="n">
        <f aca="false">TRUE()</f>
        <v>1</v>
      </c>
      <c r="G72" s="1" t="n">
        <f aca="false">TRUE()</f>
        <v>1</v>
      </c>
      <c r="H72" s="1" t="n">
        <f aca="false">TRUE()</f>
        <v>1</v>
      </c>
      <c r="I72" s="1" t="n">
        <f aca="false">TRUE()</f>
        <v>1</v>
      </c>
      <c r="J72" s="1" t="n">
        <f aca="false">FALSE()</f>
        <v>0</v>
      </c>
      <c r="K72" s="0" t="n">
        <f aca="false">IFERROR(__xludf.dummyfunction("""COMPUTED_VALUE"""),6)</f>
        <v>6</v>
      </c>
    </row>
    <row r="73" customFormat="false" ht="15.75" hidden="false" customHeight="false" outlineLevel="0" collapsed="false">
      <c r="A73" s="0" t="str">
        <f aca="false">IFERROR(__xludf.dummyfunction("""COMPUTED_VALUE"""),"Крючков")</f>
        <v>Крючков</v>
      </c>
      <c r="B73" s="0" t="str">
        <f aca="false">IFERROR(__xludf.dummyfunction("""COMPUTED_VALUE"""),"Михаил")</f>
        <v>Михаил</v>
      </c>
      <c r="C73" s="0" t="n">
        <f aca="false">IFERROR(__xludf.dummyfunction("""COMPUTED_VALUE"""),8)</f>
        <v>8</v>
      </c>
      <c r="D73" s="0" t="n">
        <f aca="false">IFERROR(__xludf.dummyfunction("""COMPUTED_VALUE"""),66)</f>
        <v>66</v>
      </c>
      <c r="E73" s="12" t="str">
        <f aca="false">IFERROR(__xludf.dummyfunction("""COMPUTED_VALUE"""),"Маркетинг")</f>
        <v>Маркетинг</v>
      </c>
      <c r="F73" s="1" t="n">
        <f aca="false">TRUE()</f>
        <v>1</v>
      </c>
      <c r="G73" s="1" t="n">
        <f aca="false">TRUE()</f>
        <v>1</v>
      </c>
      <c r="H73" s="1" t="n">
        <f aca="false">TRUE()</f>
        <v>1</v>
      </c>
      <c r="I73" s="1" t="n">
        <f aca="false">TRUE()</f>
        <v>1</v>
      </c>
      <c r="J73" s="1" t="n">
        <f aca="false">TRUE()</f>
        <v>1</v>
      </c>
      <c r="K73" s="0" t="n">
        <f aca="false">IFERROR(__xludf.dummyfunction("""COMPUTED_VALUE"""),56)</f>
        <v>56</v>
      </c>
    </row>
    <row r="74" customFormat="false" ht="15.75" hidden="false" customHeight="false" outlineLevel="0" collapsed="false">
      <c r="A74" s="0" t="str">
        <f aca="false">IFERROR(__xludf.dummyfunction("""COMPUTED_VALUE"""),"Логинов")</f>
        <v>Логинов</v>
      </c>
      <c r="B74" s="0" t="str">
        <f aca="false">IFERROR(__xludf.dummyfunction("""COMPUTED_VALUE"""),"Владислав")</f>
        <v>Владислав</v>
      </c>
      <c r="C74" s="0" t="n">
        <f aca="false">IFERROR(__xludf.dummyfunction("""COMPUTED_VALUE"""),7)</f>
        <v>7</v>
      </c>
      <c r="D74" s="0" t="n">
        <f aca="false">IFERROR(__xludf.dummyfunction("""COMPUTED_VALUE"""),117)</f>
        <v>117</v>
      </c>
      <c r="E74" s="12" t="str">
        <f aca="false">IFERROR(__xludf.dummyfunction("""COMPUTED_VALUE"""),"Маркетинг")</f>
        <v>Маркетинг</v>
      </c>
      <c r="F74" s="1" t="n">
        <f aca="false">TRUE()</f>
        <v>1</v>
      </c>
      <c r="G74" s="1" t="n">
        <f aca="false">TRUE()</f>
        <v>1</v>
      </c>
      <c r="H74" s="1" t="n">
        <f aca="false">TRUE()</f>
        <v>1</v>
      </c>
      <c r="I74" s="1" t="n">
        <f aca="false">TRUE()</f>
        <v>1</v>
      </c>
      <c r="J74" s="1" t="n">
        <f aca="false">TRUE()</f>
        <v>1</v>
      </c>
      <c r="K74" s="0" t="n">
        <f aca="false">IFERROR(__xludf.dummyfunction("""COMPUTED_VALUE"""),95)</f>
        <v>95</v>
      </c>
    </row>
    <row r="75" customFormat="false" ht="15.75" hidden="false" customHeight="false" outlineLevel="0" collapsed="false">
      <c r="A75" s="0" t="str">
        <f aca="false">IFERROR(__xludf.dummyfunction("""COMPUTED_VALUE"""),"Михайленко")</f>
        <v>Михайленко</v>
      </c>
      <c r="B75" s="0" t="str">
        <f aca="false">IFERROR(__xludf.dummyfunction("""COMPUTED_VALUE"""),"Владимир")</f>
        <v>Владимир</v>
      </c>
      <c r="C75" s="0" t="n">
        <f aca="false">IFERROR(__xludf.dummyfunction("""COMPUTED_VALUE"""),7)</f>
        <v>7</v>
      </c>
      <c r="D75" s="0" t="n">
        <f aca="false">IFERROR(__xludf.dummyfunction("""COMPUTED_VALUE"""),25)</f>
        <v>25</v>
      </c>
      <c r="E75" s="12" t="str">
        <f aca="false">IFERROR(__xludf.dummyfunction("""COMPUTED_VALUE"""),"Маркетинг")</f>
        <v>Маркетинг</v>
      </c>
      <c r="F75" s="1" t="n">
        <f aca="false">TRUE()</f>
        <v>1</v>
      </c>
      <c r="G75" s="1" t="n">
        <f aca="false">TRUE()</f>
        <v>1</v>
      </c>
      <c r="H75" s="1" t="n">
        <f aca="false">TRUE()</f>
        <v>1</v>
      </c>
      <c r="I75" s="1" t="n">
        <f aca="false">TRUE()</f>
        <v>1</v>
      </c>
      <c r="J75" s="1" t="n">
        <f aca="false">TRUE()</f>
        <v>1</v>
      </c>
      <c r="K75" s="0" t="n">
        <f aca="false">IFERROR(__xludf.dummyfunction("""COMPUTED_VALUE"""),104)</f>
        <v>104</v>
      </c>
    </row>
    <row r="76" customFormat="false" ht="15.75" hidden="false" customHeight="false" outlineLevel="0" collapsed="false">
      <c r="A76" s="0" t="str">
        <f aca="false">IFERROR(__xludf.dummyfunction("""COMPUTED_VALUE"""),"Михель")</f>
        <v>Михель</v>
      </c>
      <c r="B76" s="0" t="str">
        <f aca="false">IFERROR(__xludf.dummyfunction("""COMPUTED_VALUE"""),"Сергей")</f>
        <v>Сергей</v>
      </c>
      <c r="C76" s="0" t="n">
        <f aca="false">IFERROR(__xludf.dummyfunction("""COMPUTED_VALUE"""),8)</f>
        <v>8</v>
      </c>
      <c r="D76" s="0" t="n">
        <f aca="false">IFERROR(__xludf.dummyfunction("""COMPUTED_VALUE"""),117)</f>
        <v>117</v>
      </c>
      <c r="E76" s="12" t="str">
        <f aca="false">IFERROR(__xludf.dummyfunction("""COMPUTED_VALUE"""),"Маркетинг")</f>
        <v>Маркетинг</v>
      </c>
      <c r="F76" s="1" t="n">
        <f aca="false">FALSE()</f>
        <v>0</v>
      </c>
      <c r="G76" s="1" t="n">
        <f aca="false">FALSE()</f>
        <v>0</v>
      </c>
      <c r="H76" s="1" t="n">
        <f aca="false">TRUE()</f>
        <v>1</v>
      </c>
      <c r="I76" s="1" t="n">
        <f aca="false">TRUE()</f>
        <v>1</v>
      </c>
      <c r="J76" s="1" t="n">
        <f aca="false">TRUE()</f>
        <v>1</v>
      </c>
      <c r="K76" s="0" t="n">
        <f aca="false">IFERROR(__xludf.dummyfunction("""COMPUTED_VALUE"""),174)</f>
        <v>174</v>
      </c>
    </row>
    <row r="77" customFormat="false" ht="15.75" hidden="false" customHeight="false" outlineLevel="0" collapsed="false">
      <c r="A77" s="0" t="str">
        <f aca="false">IFERROR(__xludf.dummyfunction("""COMPUTED_VALUE"""),"Мужева")</f>
        <v>Мужева</v>
      </c>
      <c r="B77" s="0" t="str">
        <f aca="false">IFERROR(__xludf.dummyfunction("""COMPUTED_VALUE"""),"Ксения")</f>
        <v>Ксения</v>
      </c>
      <c r="C77" s="0" t="n">
        <f aca="false">IFERROR(__xludf.dummyfunction("""COMPUTED_VALUE"""),10)</f>
        <v>10</v>
      </c>
      <c r="D77" s="0" t="n">
        <f aca="false">IFERROR(__xludf.dummyfunction("""COMPUTED_VALUE"""),166)</f>
        <v>166</v>
      </c>
      <c r="E77" s="12" t="str">
        <f aca="false">IFERROR(__xludf.dummyfunction("""COMPUTED_VALUE"""),"Маркетинг")</f>
        <v>Маркетинг</v>
      </c>
      <c r="F77" s="1" t="n">
        <f aca="false">TRUE()</f>
        <v>1</v>
      </c>
      <c r="G77" s="1" t="n">
        <f aca="false">TRUE()</f>
        <v>1</v>
      </c>
      <c r="H77" s="1" t="n">
        <f aca="false">TRUE()</f>
        <v>1</v>
      </c>
      <c r="I77" s="1" t="n">
        <f aca="false">TRUE()</f>
        <v>1</v>
      </c>
      <c r="J77" s="1" t="n">
        <f aca="false">TRUE()</f>
        <v>1</v>
      </c>
      <c r="K77" s="0" t="n">
        <f aca="false">IFERROR(__xludf.dummyfunction("""COMPUTED_VALUE"""),66)</f>
        <v>66</v>
      </c>
    </row>
    <row r="78" customFormat="false" ht="15.75" hidden="false" customHeight="false" outlineLevel="0" collapsed="false">
      <c r="A78" s="0" t="str">
        <f aca="false">IFERROR(__xludf.dummyfunction("""COMPUTED_VALUE"""),"Назаренко")</f>
        <v>Назаренко</v>
      </c>
      <c r="B78" s="0" t="str">
        <f aca="false">IFERROR(__xludf.dummyfunction("""COMPUTED_VALUE"""),"Данила")</f>
        <v>Данила</v>
      </c>
      <c r="C78" s="0" t="n">
        <f aca="false">IFERROR(__xludf.dummyfunction("""COMPUTED_VALUE"""),9)</f>
        <v>9</v>
      </c>
      <c r="D78" s="0" t="n">
        <f aca="false">IFERROR(__xludf.dummyfunction("""COMPUTED_VALUE"""),75)</f>
        <v>75</v>
      </c>
      <c r="E78" s="12" t="str">
        <f aca="false">IFERROR(__xludf.dummyfunction("""COMPUTED_VALUE"""),"Маркетинг")</f>
        <v>Маркетинг</v>
      </c>
      <c r="F78" s="1" t="n">
        <f aca="false">FALSE()</f>
        <v>0</v>
      </c>
      <c r="G78" s="1" t="n">
        <f aca="false">FALSE()</f>
        <v>0</v>
      </c>
      <c r="H78" s="1" t="n">
        <f aca="false">FALSE()</f>
        <v>0</v>
      </c>
      <c r="I78" s="1" t="n">
        <f aca="false">FALSE()</f>
        <v>0</v>
      </c>
      <c r="J78" s="1" t="n">
        <f aca="false">FALSE()</f>
        <v>0</v>
      </c>
      <c r="K78" s="0" t="n">
        <f aca="false">IFERROR(__xludf.dummyfunction("""COMPUTED_VALUE"""),110)</f>
        <v>110</v>
      </c>
    </row>
    <row r="79" customFormat="false" ht="15.75" hidden="false" customHeight="false" outlineLevel="0" collapsed="false">
      <c r="A79" s="0" t="str">
        <f aca="false">IFERROR(__xludf.dummyfunction("""COMPUTED_VALUE"""),"Недобойко")</f>
        <v>Недобойко</v>
      </c>
      <c r="B79" s="0" t="str">
        <f aca="false">IFERROR(__xludf.dummyfunction("""COMPUTED_VALUE"""),"Полина ")</f>
        <v>Полина</v>
      </c>
      <c r="C79" s="0" t="n">
        <f aca="false">IFERROR(__xludf.dummyfunction("""COMPUTED_VALUE"""),9)</f>
        <v>9</v>
      </c>
      <c r="D79" s="0" t="n">
        <f aca="false">IFERROR(__xludf.dummyfunction("""COMPUTED_VALUE"""),117)</f>
        <v>117</v>
      </c>
      <c r="E79" s="12" t="str">
        <f aca="false">IFERROR(__xludf.dummyfunction("""COMPUTED_VALUE"""),"Маркетинг")</f>
        <v>Маркетинг</v>
      </c>
      <c r="F79" s="1" t="n">
        <f aca="false">TRUE()</f>
        <v>1</v>
      </c>
      <c r="G79" s="1" t="n">
        <f aca="false">TRUE()</f>
        <v>1</v>
      </c>
      <c r="H79" s="1" t="n">
        <f aca="false">FALSE()</f>
        <v>0</v>
      </c>
      <c r="I79" s="1" t="n">
        <f aca="false">FALSE()</f>
        <v>0</v>
      </c>
      <c r="J79" s="1" t="n">
        <f aca="false">FALSE()</f>
        <v>0</v>
      </c>
      <c r="K79" s="0" t="n">
        <f aca="false">IFERROR(__xludf.dummyfunction("""COMPUTED_VALUE"""),21)</f>
        <v>21</v>
      </c>
    </row>
    <row r="80" customFormat="false" ht="15.75" hidden="false" customHeight="false" outlineLevel="0" collapsed="false">
      <c r="A80" s="0" t="str">
        <f aca="false">IFERROR(__xludf.dummyfunction("""COMPUTED_VALUE"""),"Орешин")</f>
        <v>Орешин</v>
      </c>
      <c r="B80" s="0" t="str">
        <f aca="false">IFERROR(__xludf.dummyfunction("""COMPUTED_VALUE"""),"Константин ")</f>
        <v>Константин</v>
      </c>
      <c r="C80" s="0" t="n">
        <f aca="false">IFERROR(__xludf.dummyfunction("""COMPUTED_VALUE"""),7)</f>
        <v>7</v>
      </c>
      <c r="D80" s="0" t="n">
        <f aca="false">IFERROR(__xludf.dummyfunction("""COMPUTED_VALUE"""),117)</f>
        <v>117</v>
      </c>
      <c r="E80" s="12" t="str">
        <f aca="false">IFERROR(__xludf.dummyfunction("""COMPUTED_VALUE"""),"Маркетинг")</f>
        <v>Маркетинг</v>
      </c>
      <c r="F80" s="1" t="n">
        <f aca="false">TRUE()</f>
        <v>1</v>
      </c>
      <c r="G80" s="1" t="n">
        <f aca="false">TRUE()</f>
        <v>1</v>
      </c>
      <c r="H80" s="1" t="n">
        <f aca="false">TRUE()</f>
        <v>1</v>
      </c>
      <c r="I80" s="1" t="n">
        <f aca="false">TRUE()</f>
        <v>1</v>
      </c>
      <c r="J80" s="1" t="n">
        <f aca="false">TRUE()</f>
        <v>1</v>
      </c>
      <c r="K80" s="0" t="n">
        <f aca="false">IFERROR(__xludf.dummyfunction("""COMPUTED_VALUE"""),58)</f>
        <v>58</v>
      </c>
    </row>
    <row r="81" customFormat="false" ht="15.75" hidden="false" customHeight="false" outlineLevel="0" collapsed="false">
      <c r="A81" s="0" t="str">
        <f aca="false">IFERROR(__xludf.dummyfunction("""COMPUTED_VALUE"""),"Скрипкина")</f>
        <v>Скрипкина</v>
      </c>
      <c r="B81" s="0" t="str">
        <f aca="false">IFERROR(__xludf.dummyfunction("""COMPUTED_VALUE"""),"Вика")</f>
        <v>Вика</v>
      </c>
      <c r="C81" s="0" t="n">
        <f aca="false">IFERROR(__xludf.dummyfunction("""COMPUTED_VALUE"""),8)</f>
        <v>8</v>
      </c>
      <c r="D81" s="0" t="n">
        <f aca="false">IFERROR(__xludf.dummyfunction("""COMPUTED_VALUE"""),166)</f>
        <v>166</v>
      </c>
      <c r="E81" s="12" t="str">
        <f aca="false">IFERROR(__xludf.dummyfunction("""COMPUTED_VALUE"""),"Маркетинг")</f>
        <v>Маркетинг</v>
      </c>
      <c r="F81" s="1" t="n">
        <f aca="false">TRUE()</f>
        <v>1</v>
      </c>
      <c r="G81" s="1" t="n">
        <f aca="false">TRUE()</f>
        <v>1</v>
      </c>
      <c r="H81" s="1" t="n">
        <f aca="false">FALSE()</f>
        <v>0</v>
      </c>
      <c r="I81" s="1" t="n">
        <f aca="false">TRUE()</f>
        <v>1</v>
      </c>
      <c r="J81" s="1" t="n">
        <f aca="false">FALSE()</f>
        <v>0</v>
      </c>
      <c r="K81" s="0" t="n">
        <f aca="false">IFERROR(__xludf.dummyfunction("""COMPUTED_VALUE"""),20)</f>
        <v>20</v>
      </c>
    </row>
    <row r="82" customFormat="false" ht="15.75" hidden="false" customHeight="false" outlineLevel="0" collapsed="false">
      <c r="A82" s="0" t="str">
        <f aca="false">IFERROR(__xludf.dummyfunction("""COMPUTED_VALUE"""),"Сумленинова")</f>
        <v>Сумленинова</v>
      </c>
      <c r="B82" s="0" t="str">
        <f aca="false">IFERROR(__xludf.dummyfunction("""COMPUTED_VALUE"""),"Полина")</f>
        <v>Полина</v>
      </c>
      <c r="C82" s="0" t="n">
        <f aca="false">IFERROR(__xludf.dummyfunction("""COMPUTED_VALUE"""),8)</f>
        <v>8</v>
      </c>
      <c r="D82" s="0" t="n">
        <f aca="false">IFERROR(__xludf.dummyfunction("""COMPUTED_VALUE"""),117)</f>
        <v>117</v>
      </c>
      <c r="E82" s="12" t="str">
        <f aca="false">IFERROR(__xludf.dummyfunction("""COMPUTED_VALUE"""),"Маркетинг")</f>
        <v>Маркетинг</v>
      </c>
      <c r="F82" s="1" t="n">
        <f aca="false">FALSE()</f>
        <v>0</v>
      </c>
      <c r="G82" s="1" t="n">
        <f aca="false">FALSE()</f>
        <v>0</v>
      </c>
      <c r="H82" s="1" t="n">
        <f aca="false">FALSE()</f>
        <v>0</v>
      </c>
      <c r="I82" s="1" t="n">
        <f aca="false">FALSE()</f>
        <v>0</v>
      </c>
      <c r="J82" s="1" t="n">
        <f aca="false">FALSE()</f>
        <v>0</v>
      </c>
      <c r="K82" s="0" t="n">
        <f aca="false">IFERROR(__xludf.dummyfunction("""COMPUTED_VALUE"""),63)</f>
        <v>63</v>
      </c>
    </row>
    <row r="83" customFormat="false" ht="15.75" hidden="false" customHeight="false" outlineLevel="0" collapsed="false">
      <c r="A83" s="0" t="str">
        <f aca="false">IFERROR(__xludf.dummyfunction("""COMPUTED_VALUE"""),"Тепляшина ")</f>
        <v>Тепляшина</v>
      </c>
      <c r="B83" s="0" t="str">
        <f aca="false">IFERROR(__xludf.dummyfunction("""COMPUTED_VALUE"""),"Анастасия ")</f>
        <v>Анастасия</v>
      </c>
      <c r="C83" s="0" t="n">
        <f aca="false">IFERROR(__xludf.dummyfunction("""COMPUTED_VALUE"""),9)</f>
        <v>9</v>
      </c>
      <c r="D83" s="0" t="n">
        <f aca="false">IFERROR(__xludf.dummyfunction("""COMPUTED_VALUE"""),139)</f>
        <v>139</v>
      </c>
      <c r="E83" s="12" t="str">
        <f aca="false">IFERROR(__xludf.dummyfunction("""COMPUTED_VALUE"""),"Маркетинг")</f>
        <v>Маркетинг</v>
      </c>
      <c r="F83" s="1" t="n">
        <f aca="false">TRUE()</f>
        <v>1</v>
      </c>
      <c r="G83" s="1" t="n">
        <f aca="false">TRUE()</f>
        <v>1</v>
      </c>
      <c r="H83" s="1" t="n">
        <f aca="false">TRUE()</f>
        <v>1</v>
      </c>
      <c r="I83" s="1" t="n">
        <f aca="false">FALSE()</f>
        <v>0</v>
      </c>
      <c r="J83" s="1" t="n">
        <f aca="false">TRUE()</f>
        <v>1</v>
      </c>
      <c r="K83" s="0" t="n">
        <f aca="false">IFERROR(__xludf.dummyfunction("""COMPUTED_VALUE"""),27)</f>
        <v>27</v>
      </c>
    </row>
    <row r="84" customFormat="false" ht="15.75" hidden="false" customHeight="false" outlineLevel="0" collapsed="false">
      <c r="A84" s="0" t="str">
        <f aca="false">IFERROR(__xludf.dummyfunction("""COMPUTED_VALUE"""),"Терехова")</f>
        <v>Терехова</v>
      </c>
      <c r="B84" s="0" t="str">
        <f aca="false">IFERROR(__xludf.dummyfunction("""COMPUTED_VALUE"""),"Мария")</f>
        <v>Мария</v>
      </c>
      <c r="C84" s="0" t="n">
        <f aca="false">IFERROR(__xludf.dummyfunction("""COMPUTED_VALUE"""),9)</f>
        <v>9</v>
      </c>
      <c r="D84" s="0" t="n">
        <f aca="false">IFERROR(__xludf.dummyfunction("""COMPUTED_VALUE"""),139)</f>
        <v>139</v>
      </c>
      <c r="E84" s="12" t="str">
        <f aca="false">IFERROR(__xludf.dummyfunction("""COMPUTED_VALUE"""),"Маркетинг")</f>
        <v>Маркетинг</v>
      </c>
      <c r="F84" s="1" t="n">
        <f aca="false">TRUE()</f>
        <v>1</v>
      </c>
      <c r="G84" s="1" t="n">
        <f aca="false">TRUE()</f>
        <v>1</v>
      </c>
      <c r="H84" s="1" t="n">
        <f aca="false">TRUE()</f>
        <v>1</v>
      </c>
      <c r="I84" s="1" t="n">
        <f aca="false">FALSE()</f>
        <v>0</v>
      </c>
      <c r="J84" s="1" t="n">
        <f aca="false">FALSE()</f>
        <v>0</v>
      </c>
      <c r="K84" s="0" t="n">
        <f aca="false">IFERROR(__xludf.dummyfunction("""COMPUTED_VALUE"""),48)</f>
        <v>48</v>
      </c>
    </row>
    <row r="85" customFormat="false" ht="15.75" hidden="false" customHeight="false" outlineLevel="0" collapsed="false">
      <c r="A85" s="0" t="str">
        <f aca="false">IFERROR(__xludf.dummyfunction("""COMPUTED_VALUE"""),"Ушакова")</f>
        <v>Ушакова</v>
      </c>
      <c r="B85" s="0" t="str">
        <f aca="false">IFERROR(__xludf.dummyfunction("""COMPUTED_VALUE"""),"Любовь")</f>
        <v>Любовь</v>
      </c>
      <c r="C85" s="0" t="n">
        <f aca="false">IFERROR(__xludf.dummyfunction("""COMPUTED_VALUE"""),8)</f>
        <v>8</v>
      </c>
      <c r="D85" s="0" t="n">
        <f aca="false">IFERROR(__xludf.dummyfunction("""COMPUTED_VALUE"""),177)</f>
        <v>177</v>
      </c>
      <c r="E85" s="12" t="str">
        <f aca="false">IFERROR(__xludf.dummyfunction("""COMPUTED_VALUE"""),"Маркетинг")</f>
        <v>Маркетинг</v>
      </c>
      <c r="F85" s="1" t="n">
        <f aca="false">FALSE()</f>
        <v>0</v>
      </c>
      <c r="G85" s="1" t="n">
        <f aca="false">FALSE()</f>
        <v>0</v>
      </c>
      <c r="H85" s="1" t="n">
        <f aca="false">FALSE()</f>
        <v>0</v>
      </c>
      <c r="I85" s="1" t="n">
        <f aca="false">FALSE()</f>
        <v>0</v>
      </c>
      <c r="J85" s="1" t="n">
        <f aca="false">FALSE()</f>
        <v>0</v>
      </c>
      <c r="K85" s="0" t="n">
        <f aca="false">IFERROR(__xludf.dummyfunction("""COMPUTED_VALUE"""),89)</f>
        <v>89</v>
      </c>
    </row>
    <row r="86" customFormat="false" ht="15.75" hidden="false" customHeight="false" outlineLevel="0" collapsed="false">
      <c r="A86" s="0" t="str">
        <f aca="false">IFERROR(__xludf.dummyfunction("""COMPUTED_VALUE"""),"Фёдорова")</f>
        <v>Фёдорова</v>
      </c>
      <c r="B86" s="0" t="str">
        <f aca="false">IFERROR(__xludf.dummyfunction("""COMPUTED_VALUE"""),"Ксения")</f>
        <v>Ксения</v>
      </c>
      <c r="C86" s="0" t="n">
        <f aca="false">IFERROR(__xludf.dummyfunction("""COMPUTED_VALUE"""),11)</f>
        <v>11</v>
      </c>
      <c r="D86" s="0" t="n">
        <f aca="false">IFERROR(__xludf.dummyfunction("""COMPUTED_VALUE"""),140)</f>
        <v>140</v>
      </c>
      <c r="E86" s="12" t="str">
        <f aca="false">IFERROR(__xludf.dummyfunction("""COMPUTED_VALUE"""),"Маркетинг")</f>
        <v>Маркетинг</v>
      </c>
      <c r="F86" s="1" t="n">
        <f aca="false">TRUE()</f>
        <v>1</v>
      </c>
      <c r="G86" s="1" t="n">
        <f aca="false">TRUE()</f>
        <v>1</v>
      </c>
      <c r="H86" s="1" t="n">
        <f aca="false">TRUE()</f>
        <v>1</v>
      </c>
      <c r="I86" s="1" t="n">
        <f aca="false">TRUE()</f>
        <v>1</v>
      </c>
      <c r="J86" s="1" t="n">
        <f aca="false">TRUE()</f>
        <v>1</v>
      </c>
      <c r="K86" s="0" t="n">
        <f aca="false">IFERROR(__xludf.dummyfunction("""COMPUTED_VALUE"""),71)</f>
        <v>71</v>
      </c>
    </row>
    <row r="87" customFormat="false" ht="15.75" hidden="false" customHeight="false" outlineLevel="0" collapsed="false">
      <c r="A87" s="0" t="str">
        <f aca="false">IFERROR(__xludf.dummyfunction("""COMPUTED_VALUE"""),"Шадёркина")</f>
        <v>Шадёркина</v>
      </c>
      <c r="B87" s="0" t="str">
        <f aca="false">IFERROR(__xludf.dummyfunction("""COMPUTED_VALUE"""),"Даша")</f>
        <v>Даша</v>
      </c>
      <c r="C87" s="0" t="n">
        <f aca="false">IFERROR(__xludf.dummyfunction("""COMPUTED_VALUE"""),9)</f>
        <v>9</v>
      </c>
      <c r="D87" s="0" t="n">
        <f aca="false">IFERROR(__xludf.dummyfunction("""COMPUTED_VALUE"""),117)</f>
        <v>117</v>
      </c>
      <c r="E87" s="12" t="str">
        <f aca="false">IFERROR(__xludf.dummyfunction("""COMPUTED_VALUE"""),"Маркетинг")</f>
        <v>Маркетинг</v>
      </c>
      <c r="F87" s="1" t="n">
        <f aca="false">TRUE()</f>
        <v>1</v>
      </c>
      <c r="G87" s="1" t="n">
        <f aca="false">TRUE()</f>
        <v>1</v>
      </c>
      <c r="H87" s="1" t="n">
        <f aca="false">FALSE()</f>
        <v>0</v>
      </c>
      <c r="I87" s="1" t="n">
        <f aca="false">FALSE()</f>
        <v>0</v>
      </c>
      <c r="J87" s="1" t="n">
        <f aca="false">FALSE()</f>
        <v>0</v>
      </c>
      <c r="K87" s="0" t="n">
        <f aca="false">IFERROR(__xludf.dummyfunction("""COMPUTED_VALUE"""),18)</f>
        <v>18</v>
      </c>
    </row>
    <row r="88" customFormat="false" ht="15.75" hidden="false" customHeight="false" outlineLevel="0" collapsed="false">
      <c r="A88" s="0" t="str">
        <f aca="false">IFERROR(__xludf.dummyfunction("""COMPUTED_VALUE"""),"Шмидт")</f>
        <v>Шмидт</v>
      </c>
      <c r="B88" s="0" t="str">
        <f aca="false">IFERROR(__xludf.dummyfunction("""COMPUTED_VALUE"""),"Екатерина")</f>
        <v>Екатерина</v>
      </c>
      <c r="C88" s="0" t="n">
        <f aca="false">IFERROR(__xludf.dummyfunction("""COMPUTED_VALUE"""),7)</f>
        <v>7</v>
      </c>
      <c r="D88" s="0" t="n">
        <f aca="false">IFERROR(__xludf.dummyfunction("""COMPUTED_VALUE"""),7)</f>
        <v>7</v>
      </c>
      <c r="E88" s="12" t="str">
        <f aca="false">IFERROR(__xludf.dummyfunction("""COMPUTED_VALUE"""),"Маркетинг")</f>
        <v>Маркетинг</v>
      </c>
      <c r="F88" s="1" t="n">
        <f aca="false">TRUE()</f>
        <v>1</v>
      </c>
      <c r="G88" s="1" t="n">
        <f aca="false">TRUE()</f>
        <v>1</v>
      </c>
      <c r="H88" s="1" t="n">
        <f aca="false">TRUE()</f>
        <v>1</v>
      </c>
      <c r="I88" s="1" t="n">
        <f aca="false">TRUE()</f>
        <v>1</v>
      </c>
      <c r="J88" s="1" t="n">
        <f aca="false">TRUE()</f>
        <v>1</v>
      </c>
      <c r="K88" s="0" t="n">
        <f aca="false">IFERROR(__xludf.dummyfunction("""COMPUTED_VALUE"""),26)</f>
        <v>26</v>
      </c>
    </row>
    <row r="89" customFormat="false" ht="15.75" hidden="false" customHeight="false" outlineLevel="0" collapsed="false">
      <c r="A89" s="0" t="str">
        <f aca="false">IFERROR(__xludf.dummyfunction("""COMPUTED_VALUE"""),"Ячменёва")</f>
        <v>Ячменёва</v>
      </c>
      <c r="B89" s="0" t="str">
        <f aca="false">IFERROR(__xludf.dummyfunction("""COMPUTED_VALUE"""),"Василиса")</f>
        <v>Василиса</v>
      </c>
      <c r="C89" s="0" t="n">
        <f aca="false">IFERROR(__xludf.dummyfunction("""COMPUTED_VALUE"""),11)</f>
        <v>11</v>
      </c>
      <c r="D89" s="0" t="n">
        <f aca="false">IFERROR(__xludf.dummyfunction("""COMPUTED_VALUE"""),140)</f>
        <v>140</v>
      </c>
      <c r="E89" s="12" t="str">
        <f aca="false">IFERROR(__xludf.dummyfunction("""COMPUTED_VALUE"""),"Маркетинг")</f>
        <v>Маркетинг</v>
      </c>
      <c r="F89" s="1" t="n">
        <f aca="false">TRUE()</f>
        <v>1</v>
      </c>
      <c r="G89" s="1" t="n">
        <f aca="false">TRUE()</f>
        <v>1</v>
      </c>
      <c r="H89" s="1" t="n">
        <f aca="false">TRUE()</f>
        <v>1</v>
      </c>
      <c r="I89" s="1" t="n">
        <f aca="false">TRUE()</f>
        <v>1</v>
      </c>
      <c r="J89" s="1" t="n">
        <f aca="false">TRUE()</f>
        <v>1</v>
      </c>
      <c r="K89" s="0" t="n">
        <f aca="false">IFERROR(__xludf.dummyfunction("""COMPUTED_VALUE"""),77)</f>
        <v>77</v>
      </c>
    </row>
    <row r="90" customFormat="false" ht="15.75" hidden="false" customHeight="false" outlineLevel="0" collapsed="false">
      <c r="A90" s="0" t="str">
        <f aca="false">IFERROR(__xludf.dummyfunction("""COMPUTED_VALUE"""),"Анохина ")</f>
        <v>Анохина</v>
      </c>
      <c r="B90" s="0" t="str">
        <f aca="false">IFERROR(__xludf.dummyfunction("""COMPUTED_VALUE"""),"Полина ")</f>
        <v>Полина</v>
      </c>
      <c r="C90" s="0" t="n">
        <f aca="false">IFERROR(__xludf.dummyfunction("""COMPUTED_VALUE"""),8)</f>
        <v>8</v>
      </c>
      <c r="D90" s="0" t="n">
        <f aca="false">IFERROR(__xludf.dummyfunction("""COMPUTED_VALUE"""),117)</f>
        <v>117</v>
      </c>
      <c r="E90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0" s="1" t="n">
        <f aca="false">FALSE()</f>
        <v>0</v>
      </c>
      <c r="G90" s="1" t="n">
        <f aca="false">FALSE()</f>
        <v>0</v>
      </c>
      <c r="H90" s="1" t="n">
        <f aca="false">FALSE()</f>
        <v>0</v>
      </c>
      <c r="I90" s="1" t="n">
        <f aca="false">FALSE()</f>
        <v>0</v>
      </c>
      <c r="J90" s="1" t="n">
        <f aca="false">FALSE()</f>
        <v>0</v>
      </c>
      <c r="K90" s="0" t="n">
        <f aca="false">IFERROR(__xludf.dummyfunction("""COMPUTED_VALUE"""),105)</f>
        <v>105</v>
      </c>
    </row>
    <row r="91" customFormat="false" ht="15.75" hidden="false" customHeight="false" outlineLevel="0" collapsed="false">
      <c r="A91" s="0" t="str">
        <f aca="false">IFERROR(__xludf.dummyfunction("""COMPUTED_VALUE"""),"Белим ")</f>
        <v>Белим</v>
      </c>
      <c r="B91" s="0" t="str">
        <f aca="false">IFERROR(__xludf.dummyfunction("""COMPUTED_VALUE"""),"Екатерина ")</f>
        <v>Екатерина</v>
      </c>
      <c r="C91" s="0" t="n">
        <f aca="false">IFERROR(__xludf.dummyfunction("""COMPUTED_VALUE"""),8)</f>
        <v>8</v>
      </c>
      <c r="D91" s="0" t="n">
        <f aca="false">IFERROR(__xludf.dummyfunction("""COMPUTED_VALUE"""),117)</f>
        <v>117</v>
      </c>
      <c r="E91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1" s="1" t="n">
        <f aca="false">TRUE()</f>
        <v>1</v>
      </c>
      <c r="G91" s="1" t="n">
        <f aca="false">FALSE()</f>
        <v>0</v>
      </c>
      <c r="H91" s="1" t="n">
        <f aca="false">FALSE()</f>
        <v>0</v>
      </c>
      <c r="I91" s="1" t="n">
        <f aca="false">TRUE()</f>
        <v>1</v>
      </c>
      <c r="J91" s="1" t="n">
        <f aca="false">TRUE()</f>
        <v>1</v>
      </c>
      <c r="K91" s="0" t="n">
        <f aca="false">IFERROR(__xludf.dummyfunction("""COMPUTED_VALUE"""),73)</f>
        <v>73</v>
      </c>
    </row>
    <row r="92" customFormat="false" ht="15.75" hidden="false" customHeight="false" outlineLevel="0" collapsed="false">
      <c r="A92" s="0" t="str">
        <f aca="false">IFERROR(__xludf.dummyfunction("""COMPUTED_VALUE"""),"Братухина ")</f>
        <v>Братухина</v>
      </c>
      <c r="B92" s="0" t="str">
        <f aca="false">IFERROR(__xludf.dummyfunction("""COMPUTED_VALUE"""),"Альбина")</f>
        <v>Альбина</v>
      </c>
      <c r="C92" s="0" t="n">
        <f aca="false">IFERROR(__xludf.dummyfunction("""COMPUTED_VALUE"""),10)</f>
        <v>10</v>
      </c>
      <c r="D92" s="0" t="n">
        <f aca="false">IFERROR(__xludf.dummyfunction("""COMPUTED_VALUE"""),139)</f>
        <v>139</v>
      </c>
      <c r="E92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2" s="1" t="n">
        <f aca="false">TRUE()</f>
        <v>1</v>
      </c>
      <c r="G92" s="1" t="n">
        <f aca="false">TRUE()</f>
        <v>1</v>
      </c>
      <c r="H92" s="1" t="n">
        <f aca="false">FALSE()</f>
        <v>0</v>
      </c>
      <c r="I92" s="1" t="n">
        <f aca="false">TRUE()</f>
        <v>1</v>
      </c>
      <c r="J92" s="1" t="n">
        <f aca="false">TRUE()</f>
        <v>1</v>
      </c>
      <c r="K92" s="0" t="n">
        <f aca="false">IFERROR(__xludf.dummyfunction("""COMPUTED_VALUE"""),42)</f>
        <v>42</v>
      </c>
    </row>
    <row r="93" customFormat="false" ht="15.75" hidden="false" customHeight="false" outlineLevel="0" collapsed="false">
      <c r="A93" s="0" t="str">
        <f aca="false">IFERROR(__xludf.dummyfunction("""COMPUTED_VALUE"""),"Гебель")</f>
        <v>Гебель</v>
      </c>
      <c r="B93" s="0" t="str">
        <f aca="false">IFERROR(__xludf.dummyfunction("""COMPUTED_VALUE"""),"Полина")</f>
        <v>Полина</v>
      </c>
      <c r="C93" s="0" t="n">
        <f aca="false">IFERROR(__xludf.dummyfunction("""COMPUTED_VALUE"""),8)</f>
        <v>8</v>
      </c>
      <c r="D93" s="0" t="n">
        <f aca="false">IFERROR(__xludf.dummyfunction("""COMPUTED_VALUE"""),117)</f>
        <v>117</v>
      </c>
      <c r="E93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3" s="1" t="n">
        <f aca="false">TRUE()</f>
        <v>1</v>
      </c>
      <c r="G93" s="1" t="n">
        <f aca="false">TRUE()</f>
        <v>1</v>
      </c>
      <c r="H93" s="1" t="n">
        <f aca="false">FALSE()</f>
        <v>0</v>
      </c>
      <c r="I93" s="1" t="n">
        <f aca="false">TRUE()</f>
        <v>1</v>
      </c>
      <c r="J93" s="1" t="n">
        <f aca="false">FALSE()</f>
        <v>0</v>
      </c>
      <c r="K93" s="0" t="n">
        <f aca="false">IFERROR(__xludf.dummyfunction("""COMPUTED_VALUE"""),72)</f>
        <v>72</v>
      </c>
    </row>
    <row r="94" customFormat="false" ht="15.75" hidden="false" customHeight="false" outlineLevel="0" collapsed="false">
      <c r="A94" s="0" t="str">
        <f aca="false">IFERROR(__xludf.dummyfunction("""COMPUTED_VALUE"""),"Геталова")</f>
        <v>Геталова</v>
      </c>
      <c r="B94" s="0" t="str">
        <f aca="false">IFERROR(__xludf.dummyfunction("""COMPUTED_VALUE"""),"Ирина")</f>
        <v>Ирина</v>
      </c>
      <c r="C94" s="0" t="n">
        <f aca="false">IFERROR(__xludf.dummyfunction("""COMPUTED_VALUE"""),10)</f>
        <v>10</v>
      </c>
      <c r="D94" s="0" t="n">
        <f aca="false">IFERROR(__xludf.dummyfunction("""COMPUTED_VALUE"""),36)</f>
        <v>36</v>
      </c>
      <c r="E94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4" s="1" t="n">
        <f aca="false">TRUE()</f>
        <v>1</v>
      </c>
      <c r="G94" s="1" t="n">
        <f aca="false">FALSE()</f>
        <v>0</v>
      </c>
      <c r="H94" s="1" t="n">
        <f aca="false">FALSE()</f>
        <v>0</v>
      </c>
      <c r="I94" s="1" t="n">
        <f aca="false">TRUE()</f>
        <v>1</v>
      </c>
      <c r="J94" s="1" t="n">
        <f aca="false">TRUE()</f>
        <v>1</v>
      </c>
      <c r="K94" s="0" t="n">
        <f aca="false">IFERROR(__xludf.dummyfunction("""COMPUTED_VALUE"""),52)</f>
        <v>52</v>
      </c>
    </row>
    <row r="95" customFormat="false" ht="15.75" hidden="false" customHeight="false" outlineLevel="0" collapsed="false">
      <c r="A95" s="0" t="str">
        <f aca="false">IFERROR(__xludf.dummyfunction("""COMPUTED_VALUE"""),"Горчакова")</f>
        <v>Горчакова</v>
      </c>
      <c r="B95" s="0" t="str">
        <f aca="false">IFERROR(__xludf.dummyfunction("""COMPUTED_VALUE"""),"Ярослава")</f>
        <v>Ярослава</v>
      </c>
      <c r="C95" s="0" t="n">
        <f aca="false">IFERROR(__xludf.dummyfunction("""COMPUTED_VALUE"""),8)</f>
        <v>8</v>
      </c>
      <c r="D95" s="0" t="n">
        <f aca="false">IFERROR(__xludf.dummyfunction("""COMPUTED_VALUE"""),117)</f>
        <v>117</v>
      </c>
      <c r="E95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5" s="1" t="n">
        <f aca="false">FALSE()</f>
        <v>0</v>
      </c>
      <c r="G95" s="1" t="n">
        <f aca="false">FALSE()</f>
        <v>0</v>
      </c>
      <c r="H95" s="1" t="n">
        <f aca="false">FALSE()</f>
        <v>0</v>
      </c>
      <c r="I95" s="1" t="n">
        <f aca="false">FALSE()</f>
        <v>0</v>
      </c>
      <c r="J95" s="1" t="n">
        <f aca="false">FALSE()</f>
        <v>0</v>
      </c>
      <c r="K95" s="0" t="n">
        <f aca="false">IFERROR(__xludf.dummyfunction("""COMPUTED_VALUE"""),45)</f>
        <v>45</v>
      </c>
    </row>
    <row r="96" customFormat="false" ht="15.75" hidden="false" customHeight="false" outlineLevel="0" collapsed="false">
      <c r="A96" s="0" t="str">
        <f aca="false">IFERROR(__xludf.dummyfunction("""COMPUTED_VALUE"""),"Давыдова")</f>
        <v>Давыдова</v>
      </c>
      <c r="B96" s="0" t="str">
        <f aca="false">IFERROR(__xludf.dummyfunction("""COMPUTED_VALUE"""),"Елизавета")</f>
        <v>Елизавета</v>
      </c>
      <c r="C96" s="0" t="n">
        <f aca="false">IFERROR(__xludf.dummyfunction("""COMPUTED_VALUE"""),8)</f>
        <v>8</v>
      </c>
      <c r="D96" s="0" t="n">
        <f aca="false">IFERROR(__xludf.dummyfunction("""COMPUTED_VALUE"""),117)</f>
        <v>117</v>
      </c>
      <c r="E96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6" s="1" t="n">
        <f aca="false">FALSE()</f>
        <v>0</v>
      </c>
      <c r="G96" s="1" t="n">
        <f aca="false">FALSE()</f>
        <v>0</v>
      </c>
      <c r="H96" s="1" t="n">
        <f aca="false">FALSE()</f>
        <v>0</v>
      </c>
      <c r="I96" s="1" t="n">
        <f aca="false">FALSE()</f>
        <v>0</v>
      </c>
      <c r="J96" s="1" t="n">
        <f aca="false">FALSE()</f>
        <v>0</v>
      </c>
      <c r="K96" s="0" t="n">
        <f aca="false">IFERROR(__xludf.dummyfunction("""COMPUTED_VALUE"""),12)</f>
        <v>12</v>
      </c>
    </row>
    <row r="97" customFormat="false" ht="15.75" hidden="false" customHeight="false" outlineLevel="0" collapsed="false">
      <c r="A97" s="0" t="str">
        <f aca="false">IFERROR(__xludf.dummyfunction("""COMPUTED_VALUE"""),"Долгова")</f>
        <v>Долгова</v>
      </c>
      <c r="B97" s="0" t="str">
        <f aca="false">IFERROR(__xludf.dummyfunction("""COMPUTED_VALUE"""),"Анна")</f>
        <v>Анна</v>
      </c>
      <c r="C97" s="0" t="n">
        <f aca="false">IFERROR(__xludf.dummyfunction("""COMPUTED_VALUE"""),9)</f>
        <v>9</v>
      </c>
      <c r="D97" s="0" t="n">
        <f aca="false">IFERROR(__xludf.dummyfunction("""COMPUTED_VALUE"""),117)</f>
        <v>117</v>
      </c>
      <c r="E97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7" s="1" t="n">
        <f aca="false">TRUE()</f>
        <v>1</v>
      </c>
      <c r="G97" s="1" t="n">
        <f aca="false">TRUE()</f>
        <v>1</v>
      </c>
      <c r="H97" s="1" t="n">
        <f aca="false">FALSE()</f>
        <v>0</v>
      </c>
      <c r="I97" s="1" t="n">
        <f aca="false">FALSE()</f>
        <v>0</v>
      </c>
      <c r="J97" s="1" t="n">
        <f aca="false">TRUE()</f>
        <v>1</v>
      </c>
      <c r="K97" s="0" t="n">
        <f aca="false">IFERROR(__xludf.dummyfunction("""COMPUTED_VALUE"""),81)</f>
        <v>81</v>
      </c>
    </row>
    <row r="98" customFormat="false" ht="15.75" hidden="false" customHeight="false" outlineLevel="0" collapsed="false">
      <c r="A98" s="0" t="str">
        <f aca="false">IFERROR(__xludf.dummyfunction("""COMPUTED_VALUE"""),"Исаева")</f>
        <v>Исаева</v>
      </c>
      <c r="B98" s="0" t="str">
        <f aca="false">IFERROR(__xludf.dummyfunction("""COMPUTED_VALUE"""),"Анна")</f>
        <v>Анна</v>
      </c>
      <c r="C98" s="0" t="n">
        <f aca="false">IFERROR(__xludf.dummyfunction("""COMPUTED_VALUE"""),10)</f>
        <v>10</v>
      </c>
      <c r="D98" s="0" t="n">
        <f aca="false">IFERROR(__xludf.dummyfunction("""COMPUTED_VALUE"""),64)</f>
        <v>64</v>
      </c>
      <c r="E98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8" s="1" t="n">
        <f aca="false">TRUE()</f>
        <v>1</v>
      </c>
      <c r="G98" s="1" t="n">
        <f aca="false">FALSE()</f>
        <v>0</v>
      </c>
      <c r="H98" s="1" t="n">
        <f aca="false">FALSE()</f>
        <v>0</v>
      </c>
      <c r="I98" s="1" t="n">
        <f aca="false">FALSE()</f>
        <v>0</v>
      </c>
      <c r="J98" s="1" t="n">
        <f aca="false">FALSE()</f>
        <v>0</v>
      </c>
      <c r="K98" s="0" t="n">
        <f aca="false">IFERROR(__xludf.dummyfunction("""COMPUTED_VALUE"""),9)</f>
        <v>9</v>
      </c>
    </row>
    <row r="99" customFormat="false" ht="15.75" hidden="false" customHeight="false" outlineLevel="0" collapsed="false">
      <c r="A99" s="0" t="str">
        <f aca="false">IFERROR(__xludf.dummyfunction("""COMPUTED_VALUE"""),"Климова ")</f>
        <v>Климова</v>
      </c>
      <c r="B99" s="0" t="str">
        <f aca="false">IFERROR(__xludf.dummyfunction("""COMPUTED_VALUE"""),"Анна")</f>
        <v>Анна</v>
      </c>
      <c r="C99" s="0" t="n">
        <f aca="false">IFERROR(__xludf.dummyfunction("""COMPUTED_VALUE"""),8)</f>
        <v>8</v>
      </c>
      <c r="D99" s="0" t="n">
        <f aca="false">IFERROR(__xludf.dummyfunction("""COMPUTED_VALUE"""),117)</f>
        <v>117</v>
      </c>
      <c r="E99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99" s="1" t="n">
        <f aca="false">TRUE()</f>
        <v>1</v>
      </c>
      <c r="G99" s="1" t="n">
        <f aca="false">TRUE()</f>
        <v>1</v>
      </c>
      <c r="H99" s="1" t="n">
        <f aca="false">FALSE()</f>
        <v>0</v>
      </c>
      <c r="I99" s="1" t="n">
        <f aca="false">FALSE()</f>
        <v>0</v>
      </c>
      <c r="J99" s="1" t="n">
        <f aca="false">TRUE()</f>
        <v>1</v>
      </c>
      <c r="K99" s="0" t="n">
        <f aca="false">IFERROR(__xludf.dummyfunction("""COMPUTED_VALUE"""),154)</f>
        <v>154</v>
      </c>
    </row>
    <row r="100" customFormat="false" ht="15.75" hidden="false" customHeight="false" outlineLevel="0" collapsed="false">
      <c r="A100" s="0" t="str">
        <f aca="false">IFERROR(__xludf.dummyfunction("""COMPUTED_VALUE"""),"Клюева")</f>
        <v>Клюева</v>
      </c>
      <c r="B100" s="0" t="str">
        <f aca="false">IFERROR(__xludf.dummyfunction("""COMPUTED_VALUE"""),"Полина")</f>
        <v>Полина</v>
      </c>
      <c r="C100" s="0" t="n">
        <f aca="false">IFERROR(__xludf.dummyfunction("""COMPUTED_VALUE"""),8)</f>
        <v>8</v>
      </c>
      <c r="D100" s="0" t="n">
        <f aca="false">IFERROR(__xludf.dummyfunction("""COMPUTED_VALUE"""),117)</f>
        <v>117</v>
      </c>
      <c r="E100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0" s="1" t="n">
        <f aca="false">TRUE()</f>
        <v>1</v>
      </c>
      <c r="G100" s="1" t="n">
        <f aca="false">TRUE()</f>
        <v>1</v>
      </c>
      <c r="H100" s="1" t="n">
        <f aca="false">FALSE()</f>
        <v>0</v>
      </c>
      <c r="I100" s="1" t="n">
        <f aca="false">FALSE()</f>
        <v>0</v>
      </c>
      <c r="J100" s="1" t="n">
        <f aca="false">FALSE()</f>
        <v>0</v>
      </c>
      <c r="K100" s="0" t="n">
        <f aca="false">IFERROR(__xludf.dummyfunction("""COMPUTED_VALUE"""),155)</f>
        <v>155</v>
      </c>
    </row>
    <row r="101" customFormat="false" ht="15.75" hidden="false" customHeight="false" outlineLevel="0" collapsed="false">
      <c r="A101" s="0" t="str">
        <f aca="false">IFERROR(__xludf.dummyfunction("""COMPUTED_VALUE"""),"Куприенко")</f>
        <v>Куприенко</v>
      </c>
      <c r="B101" s="0" t="str">
        <f aca="false">IFERROR(__xludf.dummyfunction("""COMPUTED_VALUE"""),"Яна")</f>
        <v>Яна</v>
      </c>
      <c r="C101" s="0" t="n">
        <f aca="false">IFERROR(__xludf.dummyfunction("""COMPUTED_VALUE"""),9)</f>
        <v>9</v>
      </c>
      <c r="D101" s="0" t="n">
        <f aca="false">IFERROR(__xludf.dummyfunction("""COMPUTED_VALUE"""),117)</f>
        <v>117</v>
      </c>
      <c r="E101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1" s="1" t="n">
        <f aca="false">TRUE()</f>
        <v>1</v>
      </c>
      <c r="G101" s="1" t="n">
        <f aca="false">TRUE()</f>
        <v>1</v>
      </c>
      <c r="H101" s="1" t="n">
        <f aca="false">FALSE()</f>
        <v>0</v>
      </c>
      <c r="I101" s="1" t="n">
        <f aca="false">TRUE()</f>
        <v>1</v>
      </c>
      <c r="J101" s="1" t="n">
        <f aca="false">TRUE()</f>
        <v>1</v>
      </c>
      <c r="K101" s="0" t="n">
        <f aca="false">IFERROR(__xludf.dummyfunction("""COMPUTED_VALUE"""),83)</f>
        <v>83</v>
      </c>
    </row>
    <row r="102" customFormat="false" ht="15.75" hidden="false" customHeight="false" outlineLevel="0" collapsed="false">
      <c r="A102" s="0" t="str">
        <f aca="false">IFERROR(__xludf.dummyfunction("""COMPUTED_VALUE"""),"Курочкин")</f>
        <v>Курочкин</v>
      </c>
      <c r="B102" s="0" t="str">
        <f aca="false">IFERROR(__xludf.dummyfunction("""COMPUTED_VALUE"""),"Тихон")</f>
        <v>Тихон</v>
      </c>
      <c r="C102" s="0" t="n">
        <f aca="false">IFERROR(__xludf.dummyfunction("""COMPUTED_VALUE"""),10)</f>
        <v>10</v>
      </c>
      <c r="D102" s="0" t="n">
        <f aca="false">IFERROR(__xludf.dummyfunction("""COMPUTED_VALUE"""),150)</f>
        <v>150</v>
      </c>
      <c r="E102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2" s="1" t="n">
        <f aca="false">TRUE()</f>
        <v>1</v>
      </c>
      <c r="G102" s="1" t="n">
        <f aca="false">TRUE()</f>
        <v>1</v>
      </c>
      <c r="H102" s="1" t="n">
        <f aca="false">FALSE()</f>
        <v>0</v>
      </c>
      <c r="I102" s="1" t="n">
        <f aca="false">TRUE()</f>
        <v>1</v>
      </c>
      <c r="J102" s="1" t="n">
        <f aca="false">TRUE()</f>
        <v>1</v>
      </c>
      <c r="K102" s="0" t="n">
        <f aca="false">IFERROR(__xludf.dummyfunction("""COMPUTED_VALUE"""),7)</f>
        <v>7</v>
      </c>
    </row>
    <row r="103" customFormat="false" ht="15.75" hidden="false" customHeight="false" outlineLevel="0" collapsed="false">
      <c r="A103" s="0" t="str">
        <f aca="false">IFERROR(__xludf.dummyfunction("""COMPUTED_VALUE"""),"Ракова")</f>
        <v>Ракова</v>
      </c>
      <c r="B103" s="0" t="str">
        <f aca="false">IFERROR(__xludf.dummyfunction("""COMPUTED_VALUE"""),"Елизавета")</f>
        <v>Елизавета</v>
      </c>
      <c r="C103" s="0" t="n">
        <f aca="false">IFERROR(__xludf.dummyfunction("""COMPUTED_VALUE"""),7)</f>
        <v>7</v>
      </c>
      <c r="D103" s="0" t="n">
        <f aca="false">IFERROR(__xludf.dummyfunction("""COMPUTED_VALUE"""),117)</f>
        <v>117</v>
      </c>
      <c r="E103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3" s="1" t="n">
        <f aca="false">FALSE()</f>
        <v>0</v>
      </c>
      <c r="G103" s="1" t="n">
        <f aca="false">FALSE()</f>
        <v>0</v>
      </c>
      <c r="H103" s="1" t="n">
        <f aca="false">FALSE()</f>
        <v>0</v>
      </c>
      <c r="I103" s="1" t="n">
        <f aca="false">FALSE()</f>
        <v>0</v>
      </c>
      <c r="J103" s="1" t="n">
        <f aca="false">FALSE()</f>
        <v>0</v>
      </c>
      <c r="K103" s="0" t="n">
        <f aca="false">IFERROR(__xludf.dummyfunction("""COMPUTED_VALUE"""),39)</f>
        <v>39</v>
      </c>
    </row>
    <row r="104" customFormat="false" ht="15.75" hidden="false" customHeight="false" outlineLevel="0" collapsed="false">
      <c r="A104" s="0" t="str">
        <f aca="false">IFERROR(__xludf.dummyfunction("""COMPUTED_VALUE"""),"рожкова")</f>
        <v>рожкова</v>
      </c>
      <c r="B104" s="0" t="str">
        <f aca="false">IFERROR(__xludf.dummyfunction("""COMPUTED_VALUE"""),"Вика")</f>
        <v>Вика</v>
      </c>
      <c r="C104" s="0" t="n">
        <f aca="false">IFERROR(__xludf.dummyfunction("""COMPUTED_VALUE"""),7)</f>
        <v>7</v>
      </c>
      <c r="D104" s="0" t="str">
        <f aca="false">IFERROR(__xludf.dummyfunction("""COMPUTED_VALUE"""),"Ключевская школа")</f>
        <v>Ключевская школа</v>
      </c>
      <c r="E104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4" s="1" t="n">
        <f aca="false">TRUE()</f>
        <v>1</v>
      </c>
      <c r="G104" s="1" t="n">
        <f aca="false">TRUE()</f>
        <v>1</v>
      </c>
      <c r="H104" s="1" t="n">
        <f aca="false">FALSE()</f>
        <v>0</v>
      </c>
      <c r="I104" s="1" t="n">
        <f aca="false">TRUE()</f>
        <v>1</v>
      </c>
      <c r="J104" s="1" t="n">
        <f aca="false">TRUE()</f>
        <v>1</v>
      </c>
      <c r="K104" s="0" t="n">
        <f aca="false">IFERROR(__xludf.dummyfunction("""COMPUTED_VALUE"""),24)</f>
        <v>24</v>
      </c>
    </row>
    <row r="105" customFormat="false" ht="15.75" hidden="false" customHeight="false" outlineLevel="0" collapsed="false">
      <c r="A105" s="0" t="str">
        <f aca="false">IFERROR(__xludf.dummyfunction("""COMPUTED_VALUE"""),"Сидоров")</f>
        <v>Сидоров</v>
      </c>
      <c r="B105" s="0" t="str">
        <f aca="false">IFERROR(__xludf.dummyfunction("""COMPUTED_VALUE"""),"Никита")</f>
        <v>Никита</v>
      </c>
      <c r="C105" s="0" t="n">
        <f aca="false">IFERROR(__xludf.dummyfunction("""COMPUTED_VALUE"""),8)</f>
        <v>8</v>
      </c>
      <c r="D105" s="0" t="n">
        <f aca="false">IFERROR(__xludf.dummyfunction("""COMPUTED_VALUE"""),117)</f>
        <v>117</v>
      </c>
      <c r="E105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5" s="1" t="n">
        <f aca="false">TRUE()</f>
        <v>1</v>
      </c>
      <c r="G105" s="1" t="n">
        <f aca="false">TRUE()</f>
        <v>1</v>
      </c>
      <c r="H105" s="1" t="n">
        <f aca="false">FALSE()</f>
        <v>0</v>
      </c>
      <c r="I105" s="1" t="n">
        <f aca="false">FALSE()</f>
        <v>0</v>
      </c>
      <c r="J105" s="1" t="n">
        <f aca="false">TRUE()</f>
        <v>1</v>
      </c>
      <c r="K105" s="0" t="n">
        <f aca="false">IFERROR(__xludf.dummyfunction("""COMPUTED_VALUE"""),70)</f>
        <v>70</v>
      </c>
    </row>
    <row r="106" customFormat="false" ht="15.75" hidden="false" customHeight="false" outlineLevel="0" collapsed="false">
      <c r="A106" s="0" t="str">
        <f aca="false">IFERROR(__xludf.dummyfunction("""COMPUTED_VALUE"""),"Суханова")</f>
        <v>Суханова</v>
      </c>
      <c r="B106" s="0" t="str">
        <f aca="false">IFERROR(__xludf.dummyfunction("""COMPUTED_VALUE"""),"Алёна ")</f>
        <v>Алёна</v>
      </c>
      <c r="C106" s="0" t="n">
        <f aca="false">IFERROR(__xludf.dummyfunction("""COMPUTED_VALUE"""),7)</f>
        <v>7</v>
      </c>
      <c r="D106" s="0" t="n">
        <f aca="false">IFERROR(__xludf.dummyfunction("""COMPUTED_VALUE"""),140)</f>
        <v>140</v>
      </c>
      <c r="E106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6" s="1" t="n">
        <f aca="false">TRUE()</f>
        <v>1</v>
      </c>
      <c r="G106" s="1" t="n">
        <f aca="false">TRUE()</f>
        <v>1</v>
      </c>
      <c r="H106" s="1" t="n">
        <f aca="false">FALSE()</f>
        <v>0</v>
      </c>
      <c r="I106" s="1" t="n">
        <f aca="false">TRUE()</f>
        <v>1</v>
      </c>
      <c r="J106" s="1" t="n">
        <f aca="false">FALSE()</f>
        <v>0</v>
      </c>
      <c r="K106" s="0" t="n">
        <f aca="false">IFERROR(__xludf.dummyfunction("""COMPUTED_VALUE"""),115)</f>
        <v>115</v>
      </c>
    </row>
    <row r="107" customFormat="false" ht="15.75" hidden="false" customHeight="false" outlineLevel="0" collapsed="false">
      <c r="A107" s="0" t="str">
        <f aca="false">IFERROR(__xludf.dummyfunction("""COMPUTED_VALUE"""),"Сушкова")</f>
        <v>Сушкова</v>
      </c>
      <c r="B107" s="0" t="str">
        <f aca="false">IFERROR(__xludf.dummyfunction("""COMPUTED_VALUE"""),"Ксения")</f>
        <v>Ксения</v>
      </c>
      <c r="C107" s="0" t="n">
        <f aca="false">IFERROR(__xludf.dummyfunction("""COMPUTED_VALUE"""),8)</f>
        <v>8</v>
      </c>
      <c r="D107" s="0" t="n">
        <f aca="false">IFERROR(__xludf.dummyfunction("""COMPUTED_VALUE"""),117)</f>
        <v>117</v>
      </c>
      <c r="E107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7" s="1" t="n">
        <f aca="false">FALSE()</f>
        <v>0</v>
      </c>
      <c r="G107" s="1" t="n">
        <f aca="false">FALSE()</f>
        <v>0</v>
      </c>
      <c r="H107" s="1" t="n">
        <f aca="false">FALSE()</f>
        <v>0</v>
      </c>
      <c r="I107" s="1" t="n">
        <f aca="false">FALSE()</f>
        <v>0</v>
      </c>
      <c r="J107" s="1" t="n">
        <f aca="false">FALSE()</f>
        <v>0</v>
      </c>
      <c r="K107" s="0" t="n">
        <f aca="false">IFERROR(__xludf.dummyfunction("""COMPUTED_VALUE"""),34)</f>
        <v>34</v>
      </c>
    </row>
    <row r="108" customFormat="false" ht="15.75" hidden="false" customHeight="false" outlineLevel="0" collapsed="false">
      <c r="A108" s="0" t="str">
        <f aca="false">IFERROR(__xludf.dummyfunction("""COMPUTED_VALUE"""),"Усова")</f>
        <v>Усова</v>
      </c>
      <c r="B108" s="0" t="str">
        <f aca="false">IFERROR(__xludf.dummyfunction("""COMPUTED_VALUE"""),"Вероника")</f>
        <v>Вероника</v>
      </c>
      <c r="C108" s="0" t="n">
        <f aca="false">IFERROR(__xludf.dummyfunction("""COMPUTED_VALUE"""),7)</f>
        <v>7</v>
      </c>
      <c r="D108" s="0" t="n">
        <f aca="false">IFERROR(__xludf.dummyfunction("""COMPUTED_VALUE"""),117)</f>
        <v>117</v>
      </c>
      <c r="E108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8" s="1" t="n">
        <f aca="false">TRUE()</f>
        <v>1</v>
      </c>
      <c r="G108" s="1" t="n">
        <f aca="false">TRUE()</f>
        <v>1</v>
      </c>
      <c r="H108" s="1" t="n">
        <f aca="false">FALSE()</f>
        <v>0</v>
      </c>
      <c r="I108" s="1" t="n">
        <f aca="false">TRUE()</f>
        <v>1</v>
      </c>
      <c r="J108" s="1" t="n">
        <f aca="false">TRUE()</f>
        <v>1</v>
      </c>
      <c r="K108" s="0" t="n">
        <f aca="false">IFERROR(__xludf.dummyfunction("""COMPUTED_VALUE"""),4)</f>
        <v>4</v>
      </c>
    </row>
    <row r="109" customFormat="false" ht="15.75" hidden="false" customHeight="false" outlineLevel="0" collapsed="false">
      <c r="A109" s="0" t="str">
        <f aca="false">IFERROR(__xludf.dummyfunction("""COMPUTED_VALUE"""),"Устымчук")</f>
        <v>Устымчук</v>
      </c>
      <c r="B109" s="0" t="str">
        <f aca="false">IFERROR(__xludf.dummyfunction("""COMPUTED_VALUE"""),"Софья")</f>
        <v>Софья</v>
      </c>
      <c r="C109" s="0" t="n">
        <f aca="false">IFERROR(__xludf.dummyfunction("""COMPUTED_VALUE"""),9)</f>
        <v>9</v>
      </c>
      <c r="D109" s="0" t="n">
        <f aca="false">IFERROR(__xludf.dummyfunction("""COMPUTED_VALUE"""),74)</f>
        <v>74</v>
      </c>
      <c r="E109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09" s="1" t="n">
        <f aca="false">FALSE()</f>
        <v>0</v>
      </c>
      <c r="G109" s="1" t="n">
        <f aca="false">FALSE()</f>
        <v>0</v>
      </c>
      <c r="H109" s="1" t="n">
        <f aca="false">FALSE()</f>
        <v>0</v>
      </c>
      <c r="I109" s="1" t="n">
        <f aca="false">FALSE()</f>
        <v>0</v>
      </c>
      <c r="J109" s="1" t="n">
        <f aca="false">FALSE()</f>
        <v>0</v>
      </c>
      <c r="K109" s="0" t="n">
        <f aca="false">IFERROR(__xludf.dummyfunction("""COMPUTED_VALUE"""),43)</f>
        <v>43</v>
      </c>
    </row>
    <row r="110" customFormat="false" ht="15.75" hidden="false" customHeight="false" outlineLevel="0" collapsed="false">
      <c r="A110" s="0" t="str">
        <f aca="false">IFERROR(__xludf.dummyfunction("""COMPUTED_VALUE"""),"Ходарина")</f>
        <v>Ходарина</v>
      </c>
      <c r="B110" s="0" t="str">
        <f aca="false">IFERROR(__xludf.dummyfunction("""COMPUTED_VALUE"""),"Алина")</f>
        <v>Алина</v>
      </c>
      <c r="C110" s="0" t="n">
        <f aca="false">IFERROR(__xludf.dummyfunction("""COMPUTED_VALUE"""),11)</f>
        <v>11</v>
      </c>
      <c r="D110" s="0" t="n">
        <f aca="false">IFERROR(__xludf.dummyfunction("""COMPUTED_VALUE"""),149)</f>
        <v>149</v>
      </c>
      <c r="E110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10" s="1" t="n">
        <f aca="false">FALSE()</f>
        <v>0</v>
      </c>
      <c r="G110" s="1" t="n">
        <f aca="false">TRUE()</f>
        <v>1</v>
      </c>
      <c r="H110" s="1" t="n">
        <f aca="false">FALSE()</f>
        <v>0</v>
      </c>
      <c r="I110" s="1" t="n">
        <f aca="false">TRUE()</f>
        <v>1</v>
      </c>
      <c r="J110" s="1" t="n">
        <f aca="false">TRUE()</f>
        <v>1</v>
      </c>
      <c r="K110" s="0" t="n">
        <f aca="false">IFERROR(__xludf.dummyfunction("""COMPUTED_VALUE"""),94)</f>
        <v>94</v>
      </c>
    </row>
    <row r="111" customFormat="false" ht="15.75" hidden="false" customHeight="false" outlineLevel="0" collapsed="false">
      <c r="A111" s="0" t="str">
        <f aca="false">IFERROR(__xludf.dummyfunction("""COMPUTED_VALUE"""),"Хохлов ")</f>
        <v>Хохлов</v>
      </c>
      <c r="B111" s="0" t="str">
        <f aca="false">IFERROR(__xludf.dummyfunction("""COMPUTED_VALUE"""),"Александр")</f>
        <v>Александр</v>
      </c>
      <c r="C111" s="0" t="n">
        <f aca="false">IFERROR(__xludf.dummyfunction("""COMPUTED_VALUE"""),8)</f>
        <v>8</v>
      </c>
      <c r="D111" s="0" t="n">
        <f aca="false">IFERROR(__xludf.dummyfunction("""COMPUTED_VALUE"""),117)</f>
        <v>117</v>
      </c>
      <c r="E111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11" s="1" t="n">
        <f aca="false">TRUE()</f>
        <v>1</v>
      </c>
      <c r="G111" s="1" t="n">
        <f aca="false">TRUE()</f>
        <v>1</v>
      </c>
      <c r="H111" s="1" t="n">
        <f aca="false">FALSE()</f>
        <v>0</v>
      </c>
      <c r="I111" s="1" t="n">
        <f aca="false">FALSE()</f>
        <v>0</v>
      </c>
      <c r="J111" s="1" t="n">
        <f aca="false">FALSE()</f>
        <v>0</v>
      </c>
      <c r="K111" s="0" t="n">
        <f aca="false">IFERROR(__xludf.dummyfunction("""COMPUTED_VALUE"""),87)</f>
        <v>87</v>
      </c>
    </row>
    <row r="112" customFormat="false" ht="15.75" hidden="false" customHeight="false" outlineLevel="0" collapsed="false">
      <c r="A112" s="0" t="str">
        <f aca="false">IFERROR(__xludf.dummyfunction("""COMPUTED_VALUE"""),"Чебакова")</f>
        <v>Чебакова</v>
      </c>
      <c r="B112" s="0" t="str">
        <f aca="false">IFERROR(__xludf.dummyfunction("""COMPUTED_VALUE"""),"Майя")</f>
        <v>Майя</v>
      </c>
      <c r="C112" s="0" t="n">
        <f aca="false">IFERROR(__xludf.dummyfunction("""COMPUTED_VALUE"""),9)</f>
        <v>9</v>
      </c>
      <c r="D112" s="0" t="n">
        <f aca="false">IFERROR(__xludf.dummyfunction("""COMPUTED_VALUE"""),64)</f>
        <v>64</v>
      </c>
      <c r="E112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12" s="1" t="n">
        <f aca="false">TRUE()</f>
        <v>1</v>
      </c>
      <c r="G112" s="1" t="n">
        <f aca="false">TRUE()</f>
        <v>1</v>
      </c>
      <c r="H112" s="1" t="n">
        <f aca="false">FALSE()</f>
        <v>0</v>
      </c>
      <c r="I112" s="1" t="n">
        <f aca="false">TRUE()</f>
        <v>1</v>
      </c>
      <c r="J112" s="1" t="n">
        <f aca="false">FALSE()</f>
        <v>0</v>
      </c>
      <c r="K112" s="0" t="n">
        <f aca="false">IFERROR(__xludf.dummyfunction("""COMPUTED_VALUE"""),50)</f>
        <v>50</v>
      </c>
    </row>
    <row r="113" customFormat="false" ht="15.75" hidden="false" customHeight="false" outlineLevel="0" collapsed="false">
      <c r="A113" s="0" t="str">
        <f aca="false">IFERROR(__xludf.dummyfunction("""COMPUTED_VALUE"""),"Шаповал")</f>
        <v>Шаповал</v>
      </c>
      <c r="B113" s="0" t="str">
        <f aca="false">IFERROR(__xludf.dummyfunction("""COMPUTED_VALUE"""),"Денис")</f>
        <v>Денис</v>
      </c>
      <c r="C113" s="0" t="n">
        <f aca="false">IFERROR(__xludf.dummyfunction("""COMPUTED_VALUE"""),9)</f>
        <v>9</v>
      </c>
      <c r="D113" s="0" t="n">
        <f aca="false">IFERROR(__xludf.dummyfunction("""COMPUTED_VALUE"""),150)</f>
        <v>150</v>
      </c>
      <c r="E113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13" s="1" t="n">
        <f aca="false">TRUE()</f>
        <v>1</v>
      </c>
      <c r="G113" s="1" t="n">
        <f aca="false">TRUE()</f>
        <v>1</v>
      </c>
      <c r="H113" s="1" t="n">
        <f aca="false">FALSE()</f>
        <v>0</v>
      </c>
      <c r="I113" s="1" t="n">
        <f aca="false">TRUE()</f>
        <v>1</v>
      </c>
      <c r="J113" s="1" t="n">
        <f aca="false">TRUE()</f>
        <v>1</v>
      </c>
      <c r="K113" s="0" t="n">
        <f aca="false">IFERROR(__xludf.dummyfunction("""COMPUTED_VALUE"""),84)</f>
        <v>84</v>
      </c>
    </row>
    <row r="114" customFormat="false" ht="15.75" hidden="false" customHeight="false" outlineLevel="0" collapsed="false">
      <c r="A114" s="0" t="str">
        <f aca="false">IFERROR(__xludf.dummyfunction("""COMPUTED_VALUE"""),"Шишко")</f>
        <v>Шишко</v>
      </c>
      <c r="B114" s="0" t="str">
        <f aca="false">IFERROR(__xludf.dummyfunction("""COMPUTED_VALUE"""),"Алёна ")</f>
        <v>Алёна</v>
      </c>
      <c r="C114" s="0" t="n">
        <f aca="false">IFERROR(__xludf.dummyfunction("""COMPUTED_VALUE"""),9)</f>
        <v>9</v>
      </c>
      <c r="D114" s="0" t="n">
        <f aca="false">IFERROR(__xludf.dummyfunction("""COMPUTED_VALUE"""),117)</f>
        <v>117</v>
      </c>
      <c r="E114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14" s="1" t="n">
        <f aca="false">TRUE()</f>
        <v>1</v>
      </c>
      <c r="G114" s="1" t="n">
        <f aca="false">TRUE()</f>
        <v>1</v>
      </c>
      <c r="H114" s="1" t="n">
        <f aca="false">FALSE()</f>
        <v>0</v>
      </c>
      <c r="I114" s="1" t="n">
        <f aca="false">TRUE()</f>
        <v>1</v>
      </c>
      <c r="J114" s="1" t="n">
        <f aca="false">TRUE()</f>
        <v>1</v>
      </c>
      <c r="K114" s="0" t="n">
        <f aca="false">IFERROR(__xludf.dummyfunction("""COMPUTED_VALUE"""),93)</f>
        <v>93</v>
      </c>
    </row>
    <row r="115" customFormat="false" ht="15.75" hidden="false" customHeight="false" outlineLevel="0" collapsed="false">
      <c r="A115" s="0" t="str">
        <f aca="false">IFERROR(__xludf.dummyfunction("""COMPUTED_VALUE"""),"Щукина ")</f>
        <v>Щукина</v>
      </c>
      <c r="B115" s="0" t="str">
        <f aca="false">IFERROR(__xludf.dummyfunction("""COMPUTED_VALUE"""),"Елена ")</f>
        <v>Елена</v>
      </c>
      <c r="C115" s="0" t="n">
        <f aca="false">IFERROR(__xludf.dummyfunction("""COMPUTED_VALUE"""),7)</f>
        <v>7</v>
      </c>
      <c r="D115" s="0" t="n">
        <f aca="false">IFERROR(__xludf.dummyfunction("""COMPUTED_VALUE"""),12)</f>
        <v>12</v>
      </c>
      <c r="E115" s="12" t="str">
        <f aca="false">IFERROR(__xludf.dummyfunction("""COMPUTED_VALUE"""),"НЕсочинение: как написать текст, который прочтут до конца")</f>
        <v>НЕсочинение: как написать текст, который прочтут до конца</v>
      </c>
      <c r="F115" s="1" t="n">
        <f aca="false">TRUE()</f>
        <v>1</v>
      </c>
      <c r="G115" s="1" t="n">
        <f aca="false">TRUE()</f>
        <v>1</v>
      </c>
      <c r="H115" s="1" t="n">
        <f aca="false">FALSE()</f>
        <v>0</v>
      </c>
      <c r="I115" s="1" t="n">
        <f aca="false">TRUE()</f>
        <v>1</v>
      </c>
      <c r="J115" s="1" t="n">
        <f aca="false">TRUE()</f>
        <v>1</v>
      </c>
      <c r="K115" s="0" t="n">
        <f aca="false">IFERROR(__xludf.dummyfunction("""COMPUTED_VALUE"""),23)</f>
        <v>23</v>
      </c>
    </row>
    <row r="116" customFormat="false" ht="15.75" hidden="false" customHeight="false" outlineLevel="0" collapsed="false">
      <c r="A116" s="0" t="str">
        <f aca="false">IFERROR(__xludf.dummyfunction("""COMPUTED_VALUE"""),"Борисец ")</f>
        <v>Борисец</v>
      </c>
      <c r="B116" s="0" t="str">
        <f aca="false">IFERROR(__xludf.dummyfunction("""COMPUTED_VALUE"""),"Анастасия ")</f>
        <v>Анастасия</v>
      </c>
      <c r="C116" s="0" t="n">
        <f aca="false">IFERROR(__xludf.dummyfunction("""COMPUTED_VALUE"""),9)</f>
        <v>9</v>
      </c>
      <c r="D116" s="0" t="n">
        <f aca="false">IFERROR(__xludf.dummyfunction("""COMPUTED_VALUE"""),117)</f>
        <v>117</v>
      </c>
      <c r="E116" s="12" t="str">
        <f aca="false">IFERROR(__xludf.dummyfunction("""COMPUTED_VALUE"""),"Турнирная химия")</f>
        <v>Турнирная химия</v>
      </c>
      <c r="F116" s="1" t="n">
        <f aca="false">FALSE()</f>
        <v>0</v>
      </c>
      <c r="G116" s="1" t="n">
        <f aca="false">FALSE()</f>
        <v>0</v>
      </c>
      <c r="H116" s="1" t="n">
        <f aca="false">FALSE()</f>
        <v>0</v>
      </c>
      <c r="I116" s="1" t="n">
        <f aca="false">FALSE()</f>
        <v>0</v>
      </c>
      <c r="J116" s="1" t="n">
        <f aca="false">FALSE()</f>
        <v>0</v>
      </c>
      <c r="K116" s="0" t="n">
        <f aca="false">IFERROR(__xludf.dummyfunction("""COMPUTED_VALUE"""),3)</f>
        <v>3</v>
      </c>
    </row>
    <row r="117" customFormat="false" ht="15.75" hidden="false" customHeight="false" outlineLevel="0" collapsed="false">
      <c r="A117" s="0" t="str">
        <f aca="false">IFERROR(__xludf.dummyfunction("""COMPUTED_VALUE"""),"Жирнов")</f>
        <v>Жирнов</v>
      </c>
      <c r="B117" s="0" t="str">
        <f aca="false">IFERROR(__xludf.dummyfunction("""COMPUTED_VALUE"""),"Арсений")</f>
        <v>Арсений</v>
      </c>
      <c r="C117" s="0" t="n">
        <f aca="false">IFERROR(__xludf.dummyfunction("""COMPUTED_VALUE"""),9)</f>
        <v>9</v>
      </c>
      <c r="D117" s="0" t="n">
        <f aca="false">IFERROR(__xludf.dummyfunction("""COMPUTED_VALUE"""),149)</f>
        <v>149</v>
      </c>
      <c r="E117" s="12" t="str">
        <f aca="false">IFERROR(__xludf.dummyfunction("""COMPUTED_VALUE"""),"Турнирная химия")</f>
        <v>Турнирная химия</v>
      </c>
      <c r="F117" s="1" t="n">
        <f aca="false">FALSE()</f>
        <v>0</v>
      </c>
      <c r="G117" s="1" t="n">
        <f aca="false">FALSE()</f>
        <v>0</v>
      </c>
      <c r="H117" s="1" t="n">
        <f aca="false">FALSE()</f>
        <v>0</v>
      </c>
      <c r="I117" s="1" t="n">
        <f aca="false">FALSE()</f>
        <v>0</v>
      </c>
      <c r="J117" s="1" t="n">
        <f aca="false">FALSE()</f>
        <v>0</v>
      </c>
      <c r="K117" s="0" t="n">
        <f aca="false">IFERROR(__xludf.dummyfunction("""COMPUTED_VALUE"""),33)</f>
        <v>33</v>
      </c>
    </row>
    <row r="118" customFormat="false" ht="15.75" hidden="false" customHeight="false" outlineLevel="0" collapsed="false">
      <c r="A118" s="0" t="str">
        <f aca="false">IFERROR(__xludf.dummyfunction("""COMPUTED_VALUE"""),"Жунусов")</f>
        <v>Жунусов</v>
      </c>
      <c r="B118" s="0" t="str">
        <f aca="false">IFERROR(__xludf.dummyfunction("""COMPUTED_VALUE"""),"Евгений")</f>
        <v>Евгений</v>
      </c>
      <c r="C118" s="0" t="n">
        <f aca="false">IFERROR(__xludf.dummyfunction("""COMPUTED_VALUE"""),8)</f>
        <v>8</v>
      </c>
      <c r="D118" s="0" t="n">
        <f aca="false">IFERROR(__xludf.dummyfunction("""COMPUTED_VALUE"""),109)</f>
        <v>109</v>
      </c>
      <c r="E118" s="12" t="str">
        <f aca="false">IFERROR(__xludf.dummyfunction("""COMPUTED_VALUE"""),"Турнирная химия")</f>
        <v>Турнирная химия</v>
      </c>
      <c r="F118" s="1" t="n">
        <f aca="false">TRUE()</f>
        <v>1</v>
      </c>
      <c r="G118" s="1" t="n">
        <f aca="false">TRUE()</f>
        <v>1</v>
      </c>
      <c r="H118" s="1" t="n">
        <f aca="false">TRUE()</f>
        <v>1</v>
      </c>
      <c r="I118" s="1" t="n">
        <f aca="false">TRUE()</f>
        <v>1</v>
      </c>
      <c r="J118" s="1" t="n">
        <f aca="false">TRUE()</f>
        <v>1</v>
      </c>
      <c r="K118" s="0" t="n">
        <f aca="false">IFERROR(__xludf.dummyfunction("""COMPUTED_VALUE"""),156)</f>
        <v>156</v>
      </c>
    </row>
    <row r="119" customFormat="false" ht="15.75" hidden="false" customHeight="false" outlineLevel="0" collapsed="false">
      <c r="A119" s="0" t="str">
        <f aca="false">IFERROR(__xludf.dummyfunction("""COMPUTED_VALUE"""),"Каныгина")</f>
        <v>Каныгина</v>
      </c>
      <c r="B119" s="0" t="str">
        <f aca="false">IFERROR(__xludf.dummyfunction("""COMPUTED_VALUE"""),"Милана")</f>
        <v>Милана</v>
      </c>
      <c r="C119" s="0" t="n">
        <f aca="false">IFERROR(__xludf.dummyfunction("""COMPUTED_VALUE"""),11)</f>
        <v>11</v>
      </c>
      <c r="D119" s="0" t="n">
        <f aca="false">IFERROR(__xludf.dummyfunction("""COMPUTED_VALUE"""),62)</f>
        <v>62</v>
      </c>
      <c r="E119" s="12" t="str">
        <f aca="false">IFERROR(__xludf.dummyfunction("""COMPUTED_VALUE"""),"Турнирная химия")</f>
        <v>Турнирная химия</v>
      </c>
      <c r="F119" s="1" t="n">
        <f aca="false">TRUE()</f>
        <v>1</v>
      </c>
      <c r="G119" s="1" t="n">
        <f aca="false">FALSE()</f>
        <v>0</v>
      </c>
      <c r="H119" s="1" t="n">
        <f aca="false">FALSE()</f>
        <v>0</v>
      </c>
      <c r="I119" s="1" t="n">
        <f aca="false">FALSE()</f>
        <v>0</v>
      </c>
      <c r="J119" s="1" t="n">
        <f aca="false">FALSE()</f>
        <v>0</v>
      </c>
      <c r="K119" s="0" t="n">
        <f aca="false">IFERROR(__xludf.dummyfunction("""COMPUTED_VALUE"""),10)</f>
        <v>10</v>
      </c>
    </row>
    <row r="120" customFormat="false" ht="15.75" hidden="false" customHeight="false" outlineLevel="0" collapsed="false">
      <c r="A120" s="0" t="str">
        <f aca="false">IFERROR(__xludf.dummyfunction("""COMPUTED_VALUE"""),"Кожевников ")</f>
        <v>Кожевников</v>
      </c>
      <c r="B120" s="0" t="str">
        <f aca="false">IFERROR(__xludf.dummyfunction("""COMPUTED_VALUE"""),"Егор")</f>
        <v>Егор</v>
      </c>
      <c r="C120" s="0" t="n">
        <f aca="false">IFERROR(__xludf.dummyfunction("""COMPUTED_VALUE"""),8)</f>
        <v>8</v>
      </c>
      <c r="D120" s="0" t="n">
        <f aca="false">IFERROR(__xludf.dummyfunction("""COMPUTED_VALUE"""),66)</f>
        <v>66</v>
      </c>
      <c r="E120" s="12" t="str">
        <f aca="false">IFERROR(__xludf.dummyfunction("""COMPUTED_VALUE"""),"Турнирная химия")</f>
        <v>Турнирная химия</v>
      </c>
      <c r="F120" s="1" t="n">
        <f aca="false">TRUE()</f>
        <v>1</v>
      </c>
      <c r="G120" s="1" t="n">
        <f aca="false">FALSE()</f>
        <v>0</v>
      </c>
      <c r="H120" s="1" t="n">
        <f aca="false">FALSE()</f>
        <v>0</v>
      </c>
      <c r="I120" s="1" t="n">
        <f aca="false">FALSE()</f>
        <v>0</v>
      </c>
      <c r="J120" s="1" t="n">
        <f aca="false">FALSE()</f>
        <v>0</v>
      </c>
      <c r="K120" s="0" t="n">
        <f aca="false">IFERROR(__xludf.dummyfunction("""COMPUTED_VALUE"""),170)</f>
        <v>170</v>
      </c>
    </row>
    <row r="121" customFormat="false" ht="15.75" hidden="false" customHeight="false" outlineLevel="0" collapsed="false">
      <c r="A121" s="0" t="str">
        <f aca="false">IFERROR(__xludf.dummyfunction("""COMPUTED_VALUE"""),"Кочурова")</f>
        <v>Кочурова</v>
      </c>
      <c r="B121" s="0" t="str">
        <f aca="false">IFERROR(__xludf.dummyfunction("""COMPUTED_VALUE"""),"Елизавета")</f>
        <v>Елизавета</v>
      </c>
      <c r="C121" s="0" t="n">
        <f aca="false">IFERROR(__xludf.dummyfunction("""COMPUTED_VALUE"""),8)</f>
        <v>8</v>
      </c>
      <c r="D121" s="0" t="n">
        <f aca="false">IFERROR(__xludf.dummyfunction("""COMPUTED_VALUE"""),117)</f>
        <v>117</v>
      </c>
      <c r="E121" s="12" t="str">
        <f aca="false">IFERROR(__xludf.dummyfunction("""COMPUTED_VALUE"""),"Турнирная химия")</f>
        <v>Турнирная химия</v>
      </c>
      <c r="F121" s="1" t="n">
        <f aca="false">TRUE()</f>
        <v>1</v>
      </c>
      <c r="G121" s="1" t="n">
        <f aca="false">TRUE()</f>
        <v>1</v>
      </c>
      <c r="H121" s="1" t="n">
        <f aca="false">TRUE()</f>
        <v>1</v>
      </c>
      <c r="I121" s="1" t="n">
        <f aca="false">TRUE()</f>
        <v>1</v>
      </c>
      <c r="J121" s="1" t="n">
        <f aca="false">TRUE()</f>
        <v>1</v>
      </c>
      <c r="K121" s="0" t="n">
        <f aca="false">IFERROR(__xludf.dummyfunction("""COMPUTED_VALUE"""),59)</f>
        <v>59</v>
      </c>
    </row>
    <row r="122" customFormat="false" ht="15.75" hidden="false" customHeight="false" outlineLevel="0" collapsed="false">
      <c r="A122" s="0" t="str">
        <f aca="false">IFERROR(__xludf.dummyfunction("""COMPUTED_VALUE"""),"Лощинин")</f>
        <v>Лощинин</v>
      </c>
      <c r="B122" s="0" t="str">
        <f aca="false">IFERROR(__xludf.dummyfunction("""COMPUTED_VALUE"""),"Олег")</f>
        <v>Олег</v>
      </c>
      <c r="C122" s="0" t="n">
        <f aca="false">IFERROR(__xludf.dummyfunction("""COMPUTED_VALUE"""),8)</f>
        <v>8</v>
      </c>
      <c r="D122" s="0" t="n">
        <f aca="false">IFERROR(__xludf.dummyfunction("""COMPUTED_VALUE"""),117)</f>
        <v>117</v>
      </c>
      <c r="E122" s="12" t="str">
        <f aca="false">IFERROR(__xludf.dummyfunction("""COMPUTED_VALUE"""),"Турнирная химия")</f>
        <v>Турнирная химия</v>
      </c>
      <c r="F122" s="1" t="n">
        <f aca="false">FALSE()</f>
        <v>0</v>
      </c>
      <c r="G122" s="1" t="n">
        <f aca="false">FALSE()</f>
        <v>0</v>
      </c>
      <c r="H122" s="1" t="n">
        <f aca="false">FALSE()</f>
        <v>0</v>
      </c>
      <c r="I122" s="1" t="n">
        <f aca="false">FALSE()</f>
        <v>0</v>
      </c>
      <c r="J122" s="1" t="n">
        <f aca="false">FALSE()</f>
        <v>0</v>
      </c>
      <c r="K122" s="0" t="n">
        <f aca="false">IFERROR(__xludf.dummyfunction("""COMPUTED_VALUE"""),152)</f>
        <v>152</v>
      </c>
    </row>
    <row r="123" customFormat="false" ht="15.75" hidden="false" customHeight="false" outlineLevel="0" collapsed="false">
      <c r="A123" s="0" t="str">
        <f aca="false">IFERROR(__xludf.dummyfunction("""COMPUTED_VALUE"""),"Макарова")</f>
        <v>Макарова</v>
      </c>
      <c r="B123" s="0" t="str">
        <f aca="false">IFERROR(__xludf.dummyfunction("""COMPUTED_VALUE"""),"Елизавета")</f>
        <v>Елизавета</v>
      </c>
      <c r="C123" s="0" t="n">
        <f aca="false">IFERROR(__xludf.dummyfunction("""COMPUTED_VALUE"""),9)</f>
        <v>9</v>
      </c>
      <c r="D123" s="0" t="n">
        <f aca="false">IFERROR(__xludf.dummyfunction("""COMPUTED_VALUE"""),74)</f>
        <v>74</v>
      </c>
      <c r="E123" s="12" t="str">
        <f aca="false">IFERROR(__xludf.dummyfunction("""COMPUTED_VALUE"""),"Турнирная химия")</f>
        <v>Турнирная химия</v>
      </c>
      <c r="F123" s="1" t="n">
        <f aca="false">TRUE()</f>
        <v>1</v>
      </c>
      <c r="G123" s="1" t="n">
        <f aca="false">TRUE()</f>
        <v>1</v>
      </c>
      <c r="H123" s="1" t="n">
        <f aca="false">TRUE()</f>
        <v>1</v>
      </c>
      <c r="I123" s="1" t="n">
        <f aca="false">TRUE()</f>
        <v>1</v>
      </c>
      <c r="J123" s="1" t="n">
        <f aca="false">TRUE()</f>
        <v>1</v>
      </c>
      <c r="K123" s="0" t="n">
        <f aca="false">IFERROR(__xludf.dummyfunction("""COMPUTED_VALUE"""),36)</f>
        <v>36</v>
      </c>
    </row>
    <row r="124" customFormat="false" ht="15.75" hidden="false" customHeight="false" outlineLevel="0" collapsed="false">
      <c r="A124" s="0" t="str">
        <f aca="false">IFERROR(__xludf.dummyfunction("""COMPUTED_VALUE"""),"Нуркушева")</f>
        <v>Нуркушева</v>
      </c>
      <c r="B124" s="0" t="str">
        <f aca="false">IFERROR(__xludf.dummyfunction("""COMPUTED_VALUE"""),"Асель")</f>
        <v>Асель</v>
      </c>
      <c r="C124" s="0" t="n">
        <f aca="false">IFERROR(__xludf.dummyfunction("""COMPUTED_VALUE"""),8)</f>
        <v>8</v>
      </c>
      <c r="D124" s="0" t="n">
        <f aca="false">IFERROR(__xludf.dummyfunction("""COMPUTED_VALUE"""),117)</f>
        <v>117</v>
      </c>
      <c r="E124" s="12" t="str">
        <f aca="false">IFERROR(__xludf.dummyfunction("""COMPUTED_VALUE"""),"Турнирная химия")</f>
        <v>Турнирная химия</v>
      </c>
      <c r="F124" s="1" t="n">
        <f aca="false">TRUE()</f>
        <v>1</v>
      </c>
      <c r="G124" s="1" t="n">
        <f aca="false">FALSE()</f>
        <v>0</v>
      </c>
      <c r="H124" s="1" t="n">
        <f aca="false">TRUE()</f>
        <v>1</v>
      </c>
      <c r="I124" s="1" t="n">
        <f aca="false">TRUE()</f>
        <v>1</v>
      </c>
      <c r="J124" s="1" t="n">
        <f aca="false">TRUE()</f>
        <v>1</v>
      </c>
      <c r="K124" s="0" t="n">
        <f aca="false">IFERROR(__xludf.dummyfunction("""COMPUTED_VALUE"""),65)</f>
        <v>65</v>
      </c>
    </row>
    <row r="125" customFormat="false" ht="15.75" hidden="false" customHeight="false" outlineLevel="0" collapsed="false">
      <c r="A125" s="0" t="str">
        <f aca="false">IFERROR(__xludf.dummyfunction("""COMPUTED_VALUE"""),"Проворкина")</f>
        <v>Проворкина</v>
      </c>
      <c r="B125" s="0" t="str">
        <f aca="false">IFERROR(__xludf.dummyfunction("""COMPUTED_VALUE"""),"Анастасия")</f>
        <v>Анастасия</v>
      </c>
      <c r="C125" s="0" t="n">
        <f aca="false">IFERROR(__xludf.dummyfunction("""COMPUTED_VALUE"""),10)</f>
        <v>10</v>
      </c>
      <c r="D125" s="0" t="n">
        <f aca="false">IFERROR(__xludf.dummyfunction("""COMPUTED_VALUE"""),142)</f>
        <v>142</v>
      </c>
      <c r="E125" s="12" t="str">
        <f aca="false">IFERROR(__xludf.dummyfunction("""COMPUTED_VALUE"""),"Турнирная химия")</f>
        <v>Турнирная химия</v>
      </c>
      <c r="F125" s="1" t="n">
        <f aca="false">TRUE()</f>
        <v>1</v>
      </c>
      <c r="G125" s="1" t="n">
        <f aca="false">TRUE()</f>
        <v>1</v>
      </c>
      <c r="H125" s="1" t="n">
        <f aca="false">TRUE()</f>
        <v>1</v>
      </c>
      <c r="I125" s="1" t="n">
        <f aca="false">TRUE()</f>
        <v>1</v>
      </c>
      <c r="J125" s="1" t="n">
        <f aca="false">TRUE()</f>
        <v>1</v>
      </c>
      <c r="K125" s="0" t="n">
        <f aca="false">IFERROR(__xludf.dummyfunction("""COMPUTED_VALUE"""),85)</f>
        <v>85</v>
      </c>
    </row>
    <row r="126" customFormat="false" ht="15.75" hidden="false" customHeight="false" outlineLevel="0" collapsed="false">
      <c r="A126" s="0" t="str">
        <f aca="false">IFERROR(__xludf.dummyfunction("""COMPUTED_VALUE"""),"Ремизова")</f>
        <v>Ремизова</v>
      </c>
      <c r="B126" s="0" t="str">
        <f aca="false">IFERROR(__xludf.dummyfunction("""COMPUTED_VALUE"""),"Ульяна")</f>
        <v>Ульяна</v>
      </c>
      <c r="C126" s="0" t="n">
        <f aca="false">IFERROR(__xludf.dummyfunction("""COMPUTED_VALUE"""),8)</f>
        <v>8</v>
      </c>
      <c r="D126" s="0" t="n">
        <f aca="false">IFERROR(__xludf.dummyfunction("""COMPUTED_VALUE"""),117)</f>
        <v>117</v>
      </c>
      <c r="E126" s="12" t="str">
        <f aca="false">IFERROR(__xludf.dummyfunction("""COMPUTED_VALUE"""),"Турнирная химия")</f>
        <v>Турнирная химия</v>
      </c>
      <c r="F126" s="1" t="n">
        <f aca="false">TRUE()</f>
        <v>1</v>
      </c>
      <c r="G126" s="1" t="n">
        <f aca="false">TRUE()</f>
        <v>1</v>
      </c>
      <c r="H126" s="1" t="n">
        <f aca="false">TRUE()</f>
        <v>1</v>
      </c>
      <c r="I126" s="1" t="n">
        <f aca="false">TRUE()</f>
        <v>1</v>
      </c>
      <c r="J126" s="1" t="n">
        <f aca="false">TRUE()</f>
        <v>1</v>
      </c>
      <c r="K126" s="0" t="n">
        <f aca="false">IFERROR(__xludf.dummyfunction("""COMPUTED_VALUE"""),44)</f>
        <v>44</v>
      </c>
    </row>
    <row r="127" customFormat="false" ht="15.75" hidden="false" customHeight="false" outlineLevel="0" collapsed="false">
      <c r="A127" s="0" t="str">
        <f aca="false">IFERROR(__xludf.dummyfunction("""COMPUTED_VALUE"""),"Самохвалова")</f>
        <v>Самохвалова</v>
      </c>
      <c r="B127" s="0" t="str">
        <f aca="false">IFERROR(__xludf.dummyfunction("""COMPUTED_VALUE"""),"Ксения")</f>
        <v>Ксения</v>
      </c>
      <c r="C127" s="0" t="n">
        <f aca="false">IFERROR(__xludf.dummyfunction("""COMPUTED_VALUE"""),9)</f>
        <v>9</v>
      </c>
      <c r="D127" s="0" t="str">
        <f aca="false">IFERROR(__xludf.dummyfunction("""COMPUTED_VALUE"""),"Академический лицей")</f>
        <v>Академический лицей</v>
      </c>
      <c r="E127" s="12" t="str">
        <f aca="false">IFERROR(__xludf.dummyfunction("""COMPUTED_VALUE"""),"Турнирная химия")</f>
        <v>Турнирная химия</v>
      </c>
      <c r="F127" s="1" t="n">
        <f aca="false">FALSE()</f>
        <v>0</v>
      </c>
      <c r="G127" s="1" t="n">
        <f aca="false">FALSE()</f>
        <v>0</v>
      </c>
      <c r="H127" s="1" t="n">
        <f aca="false">FALSE()</f>
        <v>0</v>
      </c>
      <c r="I127" s="1" t="n">
        <f aca="false">FALSE()</f>
        <v>0</v>
      </c>
      <c r="J127" s="1" t="n">
        <f aca="false">FALSE()</f>
        <v>0</v>
      </c>
      <c r="K127" s="0" t="n">
        <f aca="false">IFERROR(__xludf.dummyfunction("""COMPUTED_VALUE"""),119)</f>
        <v>119</v>
      </c>
    </row>
    <row r="128" customFormat="false" ht="15.75" hidden="false" customHeight="false" outlineLevel="0" collapsed="false">
      <c r="A128" s="0" t="str">
        <f aca="false">IFERROR(__xludf.dummyfunction("""COMPUTED_VALUE"""),"Филиппенко")</f>
        <v>Филиппенко</v>
      </c>
      <c r="B128" s="0" t="str">
        <f aca="false">IFERROR(__xludf.dummyfunction("""COMPUTED_VALUE"""),"Лев")</f>
        <v>Лев</v>
      </c>
      <c r="C128" s="0" t="n">
        <f aca="false">IFERROR(__xludf.dummyfunction("""COMPUTED_VALUE"""),9)</f>
        <v>9</v>
      </c>
      <c r="D128" s="0" t="n">
        <f aca="false">IFERROR(__xludf.dummyfunction("""COMPUTED_VALUE"""),66)</f>
        <v>66</v>
      </c>
      <c r="E128" s="12" t="str">
        <f aca="false">IFERROR(__xludf.dummyfunction("""COMPUTED_VALUE"""),"Турнирная химия")</f>
        <v>Турнирная химия</v>
      </c>
      <c r="F128" s="1" t="n">
        <f aca="false">FALSE()</f>
        <v>0</v>
      </c>
      <c r="G128" s="1" t="n">
        <f aca="false">TRUE()</f>
        <v>1</v>
      </c>
      <c r="H128" s="1" t="n">
        <f aca="false">FALSE()</f>
        <v>0</v>
      </c>
      <c r="I128" s="1" t="n">
        <f aca="false">FALSE()</f>
        <v>0</v>
      </c>
      <c r="J128" s="1" t="n">
        <f aca="false">FALSE()</f>
        <v>0</v>
      </c>
      <c r="K128" s="0" t="n">
        <f aca="false">IFERROR(__xludf.dummyfunction("""COMPUTED_VALUE"""),176)</f>
        <v>176</v>
      </c>
    </row>
    <row r="129" customFormat="false" ht="15.75" hidden="false" customHeight="false" outlineLevel="0" collapsed="false">
      <c r="A129" s="0" t="str">
        <f aca="false">IFERROR(__xludf.dummyfunction("""COMPUTED_VALUE"""),"Шереш")</f>
        <v>Шереш</v>
      </c>
      <c r="B129" s="0" t="str">
        <f aca="false">IFERROR(__xludf.dummyfunction("""COMPUTED_VALUE"""),"Егор")</f>
        <v>Егор</v>
      </c>
      <c r="C129" s="0" t="n">
        <f aca="false">IFERROR(__xludf.dummyfunction("""COMPUTED_VALUE"""),9)</f>
        <v>9</v>
      </c>
      <c r="D129" s="0" t="n">
        <f aca="false">IFERROR(__xludf.dummyfunction("""COMPUTED_VALUE"""),149)</f>
        <v>149</v>
      </c>
      <c r="E129" s="12" t="str">
        <f aca="false">IFERROR(__xludf.dummyfunction("""COMPUTED_VALUE"""),"Турнирная химия")</f>
        <v>Турнирная химия</v>
      </c>
      <c r="F129" s="1" t="n">
        <f aca="false">TRUE()</f>
        <v>1</v>
      </c>
      <c r="G129" s="1" t="n">
        <f aca="false">TRUE()</f>
        <v>1</v>
      </c>
      <c r="H129" s="1" t="n">
        <f aca="false">TRUE()</f>
        <v>1</v>
      </c>
      <c r="I129" s="1" t="n">
        <f aca="false">TRUE()</f>
        <v>1</v>
      </c>
      <c r="J129" s="1" t="n">
        <f aca="false">TRUE()</f>
        <v>1</v>
      </c>
      <c r="K129" s="0" t="n">
        <f aca="false">IFERROR(__xludf.dummyfunction("""COMPUTED_VALUE"""),167)</f>
        <v>167</v>
      </c>
    </row>
    <row r="130" customFormat="false" ht="15.75" hidden="false" customHeight="false" outlineLevel="0" collapsed="false">
      <c r="A130" s="0" t="str">
        <f aca="false">IFERROR(__xludf.dummyfunction("""COMPUTED_VALUE"""),"Барнёва")</f>
        <v>Барнёва</v>
      </c>
      <c r="B130" s="0" t="str">
        <f aca="false">IFERROR(__xludf.dummyfunction("""COMPUTED_VALUE"""),"Софья")</f>
        <v>Софья</v>
      </c>
      <c r="C130" s="0" t="n">
        <f aca="false">IFERROR(__xludf.dummyfunction("""COMPUTED_VALUE"""),9)</f>
        <v>9</v>
      </c>
      <c r="D130" s="0" t="n">
        <f aca="false">IFERROR(__xludf.dummyfunction("""COMPUTED_VALUE"""),117)</f>
        <v>117</v>
      </c>
      <c r="E130" s="12" t="str">
        <f aca="false">IFERROR(__xludf.dummyfunction("""COMPUTED_VALUE"""),"Физика. Лабораторный практикум")</f>
        <v>Физика. Лабораторный практикум</v>
      </c>
      <c r="F130" s="1" t="n">
        <f aca="false">FALSE()</f>
        <v>0</v>
      </c>
      <c r="G130" s="1" t="n">
        <f aca="false">FALSE()</f>
        <v>0</v>
      </c>
      <c r="H130" s="1" t="n">
        <f aca="false">FALSE()</f>
        <v>0</v>
      </c>
      <c r="I130" s="1" t="n">
        <f aca="false">FALSE()</f>
        <v>0</v>
      </c>
      <c r="J130" s="1" t="n">
        <f aca="false">FALSE()</f>
        <v>0</v>
      </c>
      <c r="K130" s="0" t="n">
        <f aca="false">IFERROR(__xludf.dummyfunction("""COMPUTED_VALUE"""),22)</f>
        <v>22</v>
      </c>
    </row>
    <row r="131" customFormat="false" ht="15.75" hidden="false" customHeight="false" outlineLevel="0" collapsed="false">
      <c r="A131" s="0" t="str">
        <f aca="false">IFERROR(__xludf.dummyfunction("""COMPUTED_VALUE"""),"Божко")</f>
        <v>Божко</v>
      </c>
      <c r="B131" s="0" t="str">
        <f aca="false">IFERROR(__xludf.dummyfunction("""COMPUTED_VALUE"""),"Роман")</f>
        <v>Роман</v>
      </c>
      <c r="C131" s="0" t="n">
        <f aca="false">IFERROR(__xludf.dummyfunction("""COMPUTED_VALUE"""),9)</f>
        <v>9</v>
      </c>
      <c r="D131" s="0" t="n">
        <f aca="false">IFERROR(__xludf.dummyfunction("""COMPUTED_VALUE"""),149)</f>
        <v>149</v>
      </c>
      <c r="E131" s="12" t="str">
        <f aca="false">IFERROR(__xludf.dummyfunction("""COMPUTED_VALUE"""),"Физика. Лабораторный практикум")</f>
        <v>Физика. Лабораторный практикум</v>
      </c>
      <c r="F131" s="1" t="n">
        <f aca="false">FALSE()</f>
        <v>0</v>
      </c>
      <c r="G131" s="1" t="n">
        <f aca="false">TRUE()</f>
        <v>1</v>
      </c>
      <c r="H131" s="1" t="n">
        <f aca="false">TRUE()</f>
        <v>1</v>
      </c>
      <c r="I131" s="1" t="n">
        <f aca="false">TRUE()</f>
        <v>1</v>
      </c>
      <c r="J131" s="1" t="n">
        <f aca="false">TRUE()</f>
        <v>1</v>
      </c>
      <c r="K131" s="0" t="n">
        <f aca="false">IFERROR(__xludf.dummyfunction("""COMPUTED_VALUE"""),131)</f>
        <v>131</v>
      </c>
    </row>
    <row r="132" customFormat="false" ht="15.75" hidden="false" customHeight="false" outlineLevel="0" collapsed="false">
      <c r="A132" s="0" t="str">
        <f aca="false">IFERROR(__xludf.dummyfunction("""COMPUTED_VALUE"""),"Божко")</f>
        <v>Божко</v>
      </c>
      <c r="B132" s="0" t="str">
        <f aca="false">IFERROR(__xludf.dummyfunction("""COMPUTED_VALUE"""),"Ксения")</f>
        <v>Ксения</v>
      </c>
      <c r="C132" s="0" t="n">
        <f aca="false">IFERROR(__xludf.dummyfunction("""COMPUTED_VALUE"""),8)</f>
        <v>8</v>
      </c>
      <c r="D132" s="0" t="n">
        <f aca="false">IFERROR(__xludf.dummyfunction("""COMPUTED_VALUE"""),7)</f>
        <v>7</v>
      </c>
      <c r="E132" s="12" t="str">
        <f aca="false">IFERROR(__xludf.dummyfunction("""COMPUTED_VALUE"""),"Физика. Лабораторный практикум")</f>
        <v>Физика. Лабораторный практикум</v>
      </c>
      <c r="F132" s="1" t="n">
        <f aca="false">FALSE()</f>
        <v>0</v>
      </c>
      <c r="G132" s="1" t="n">
        <f aca="false">FALSE()</f>
        <v>0</v>
      </c>
      <c r="H132" s="1" t="n">
        <f aca="false">FALSE()</f>
        <v>0</v>
      </c>
      <c r="I132" s="1" t="n">
        <f aca="false">FALSE()</f>
        <v>0</v>
      </c>
      <c r="J132" s="1" t="n">
        <f aca="false">FALSE()</f>
        <v>0</v>
      </c>
      <c r="K132" s="0" t="n">
        <f aca="false">IFERROR(__xludf.dummyfunction("""COMPUTED_VALUE"""),149)</f>
        <v>149</v>
      </c>
    </row>
    <row r="133" customFormat="false" ht="15.75" hidden="false" customHeight="false" outlineLevel="0" collapsed="false">
      <c r="A133" s="0" t="str">
        <f aca="false">IFERROR(__xludf.dummyfunction("""COMPUTED_VALUE"""),"Бурляев")</f>
        <v>Бурляев</v>
      </c>
      <c r="B133" s="0" t="str">
        <f aca="false">IFERROR(__xludf.dummyfunction("""COMPUTED_VALUE"""),"Илья")</f>
        <v>Илья</v>
      </c>
      <c r="C133" s="0" t="n">
        <f aca="false">IFERROR(__xludf.dummyfunction("""COMPUTED_VALUE"""),8)</f>
        <v>8</v>
      </c>
      <c r="D133" s="0" t="n">
        <f aca="false">IFERROR(__xludf.dummyfunction("""COMPUTED_VALUE"""),117)</f>
        <v>117</v>
      </c>
      <c r="E133" s="12" t="str">
        <f aca="false">IFERROR(__xludf.dummyfunction("""COMPUTED_VALUE"""),"Физика. Лабораторный практикум")</f>
        <v>Физика. Лабораторный практикум</v>
      </c>
      <c r="F133" s="1" t="n">
        <f aca="false">TRUE()</f>
        <v>1</v>
      </c>
      <c r="G133" s="1" t="n">
        <f aca="false">TRUE()</f>
        <v>1</v>
      </c>
      <c r="H133" s="1" t="n">
        <f aca="false">TRUE()</f>
        <v>1</v>
      </c>
      <c r="I133" s="1" t="n">
        <f aca="false">TRUE()</f>
        <v>1</v>
      </c>
      <c r="J133" s="1" t="n">
        <f aca="false">TRUE()</f>
        <v>1</v>
      </c>
      <c r="K133" s="0" t="n">
        <f aca="false">IFERROR(__xludf.dummyfunction("""COMPUTED_VALUE"""),80)</f>
        <v>80</v>
      </c>
    </row>
    <row r="134" customFormat="false" ht="15.75" hidden="false" customHeight="false" outlineLevel="0" collapsed="false">
      <c r="A134" s="0" t="str">
        <f aca="false">IFERROR(__xludf.dummyfunction("""COMPUTED_VALUE"""),"Гасилен")</f>
        <v>Гасилен</v>
      </c>
      <c r="B134" s="0" t="str">
        <f aca="false">IFERROR(__xludf.dummyfunction("""COMPUTED_VALUE"""),"Иван")</f>
        <v>Иван</v>
      </c>
      <c r="C134" s="0" t="n">
        <f aca="false">IFERROR(__xludf.dummyfunction("""COMPUTED_VALUE"""),9)</f>
        <v>9</v>
      </c>
      <c r="D134" s="0" t="n">
        <f aca="false">IFERROR(__xludf.dummyfunction("""COMPUTED_VALUE"""),117)</f>
        <v>117</v>
      </c>
      <c r="E134" s="12" t="str">
        <f aca="false">IFERROR(__xludf.dummyfunction("""COMPUTED_VALUE"""),"Физика. Лабораторный практикум")</f>
        <v>Физика. Лабораторный практикум</v>
      </c>
      <c r="F134" s="1" t="n">
        <f aca="false">TRUE()</f>
        <v>1</v>
      </c>
      <c r="G134" s="1" t="n">
        <f aca="false">TRUE()</f>
        <v>1</v>
      </c>
      <c r="H134" s="1" t="n">
        <f aca="false">TRUE()</f>
        <v>1</v>
      </c>
      <c r="I134" s="1" t="n">
        <f aca="false">TRUE()</f>
        <v>1</v>
      </c>
      <c r="J134" s="1" t="n">
        <f aca="false">TRUE()</f>
        <v>1</v>
      </c>
      <c r="K134" s="0" t="n">
        <f aca="false">IFERROR(__xludf.dummyfunction("""COMPUTED_VALUE"""),112)</f>
        <v>112</v>
      </c>
    </row>
    <row r="135" customFormat="false" ht="15.75" hidden="false" customHeight="false" outlineLevel="0" collapsed="false">
      <c r="A135" s="0" t="str">
        <f aca="false">IFERROR(__xludf.dummyfunction("""COMPUTED_VALUE"""),"Джураева")</f>
        <v>Джураева</v>
      </c>
      <c r="B135" s="0" t="str">
        <f aca="false">IFERROR(__xludf.dummyfunction("""COMPUTED_VALUE"""),"Рената")</f>
        <v>Рената</v>
      </c>
      <c r="C135" s="0" t="n">
        <f aca="false">IFERROR(__xludf.dummyfunction("""COMPUTED_VALUE"""),10)</f>
        <v>10</v>
      </c>
      <c r="D135" s="0" t="n">
        <f aca="false">IFERROR(__xludf.dummyfunction("""COMPUTED_VALUE"""),64)</f>
        <v>64</v>
      </c>
      <c r="E135" s="12" t="str">
        <f aca="false">IFERROR(__xludf.dummyfunction("""COMPUTED_VALUE"""),"Физика. Лабораторный практикум")</f>
        <v>Физика. Лабораторный практикум</v>
      </c>
      <c r="F135" s="1" t="n">
        <f aca="false">FALSE()</f>
        <v>0</v>
      </c>
      <c r="G135" s="1" t="n">
        <f aca="false">FALSE()</f>
        <v>0</v>
      </c>
      <c r="H135" s="1" t="n">
        <f aca="false">FALSE()</f>
        <v>0</v>
      </c>
      <c r="I135" s="1" t="n">
        <f aca="false">FALSE()</f>
        <v>0</v>
      </c>
      <c r="J135" s="1" t="n">
        <f aca="false">TRUE()</f>
        <v>1</v>
      </c>
      <c r="K135" s="0" t="n">
        <f aca="false">IFERROR(__xludf.dummyfunction("""COMPUTED_VALUE"""),8)</f>
        <v>8</v>
      </c>
    </row>
    <row r="136" customFormat="false" ht="15.75" hidden="false" customHeight="false" outlineLevel="0" collapsed="false">
      <c r="A136" s="0" t="str">
        <f aca="false">IFERROR(__xludf.dummyfunction("""COMPUTED_VALUE"""),"Евстратенко")</f>
        <v>Евстратенко</v>
      </c>
      <c r="B136" s="0" t="str">
        <f aca="false">IFERROR(__xludf.dummyfunction("""COMPUTED_VALUE"""),"Екатерина")</f>
        <v>Екатерина</v>
      </c>
      <c r="C136" s="0" t="n">
        <f aca="false">IFERROR(__xludf.dummyfunction("""COMPUTED_VALUE"""),9)</f>
        <v>9</v>
      </c>
      <c r="D136" s="0" t="n">
        <f aca="false">IFERROR(__xludf.dummyfunction("""COMPUTED_VALUE"""),117)</f>
        <v>117</v>
      </c>
      <c r="E136" s="12" t="str">
        <f aca="false">IFERROR(__xludf.dummyfunction("""COMPUTED_VALUE"""),"Физика. Лабораторный практикум")</f>
        <v>Физика. Лабораторный практикум</v>
      </c>
      <c r="F136" s="1" t="n">
        <f aca="false">FALSE()</f>
        <v>0</v>
      </c>
      <c r="G136" s="1" t="n">
        <f aca="false">FALSE()</f>
        <v>0</v>
      </c>
      <c r="H136" s="1" t="n">
        <f aca="false">FALSE()</f>
        <v>0</v>
      </c>
      <c r="I136" s="1" t="n">
        <f aca="false">FALSE()</f>
        <v>0</v>
      </c>
      <c r="J136" s="1" t="n">
        <f aca="false">FALSE()</f>
        <v>0</v>
      </c>
      <c r="K136" s="0" t="n">
        <f aca="false">IFERROR(__xludf.dummyfunction("""COMPUTED_VALUE"""),136)</f>
        <v>136</v>
      </c>
    </row>
    <row r="137" customFormat="false" ht="15.75" hidden="false" customHeight="false" outlineLevel="0" collapsed="false">
      <c r="A137" s="0" t="str">
        <f aca="false">IFERROR(__xludf.dummyfunction("""COMPUTED_VALUE"""),"Жилин")</f>
        <v>Жилин</v>
      </c>
      <c r="B137" s="0" t="str">
        <f aca="false">IFERROR(__xludf.dummyfunction("""COMPUTED_VALUE"""),"Михаил")</f>
        <v>Михаил</v>
      </c>
      <c r="C137" s="0" t="n">
        <f aca="false">IFERROR(__xludf.dummyfunction("""COMPUTED_VALUE"""),9)</f>
        <v>9</v>
      </c>
      <c r="D137" s="0" t="n">
        <f aca="false">IFERROR(__xludf.dummyfunction("""COMPUTED_VALUE"""),117)</f>
        <v>117</v>
      </c>
      <c r="E137" s="12" t="str">
        <f aca="false">IFERROR(__xludf.dummyfunction("""COMPUTED_VALUE"""),"Физика. Лабораторный практикум")</f>
        <v>Физика. Лабораторный практикум</v>
      </c>
      <c r="F137" s="1" t="n">
        <f aca="false">TRUE()</f>
        <v>1</v>
      </c>
      <c r="G137" s="1" t="n">
        <f aca="false">TRUE()</f>
        <v>1</v>
      </c>
      <c r="H137" s="1" t="n">
        <f aca="false">TRUE()</f>
        <v>1</v>
      </c>
      <c r="I137" s="1" t="n">
        <f aca="false">FALSE()</f>
        <v>0</v>
      </c>
      <c r="J137" s="1" t="n">
        <f aca="false">TRUE()</f>
        <v>1</v>
      </c>
      <c r="K137" s="0" t="n">
        <f aca="false">IFERROR(__xludf.dummyfunction("""COMPUTED_VALUE"""),133)</f>
        <v>133</v>
      </c>
    </row>
    <row r="138" customFormat="false" ht="15.75" hidden="false" customHeight="false" outlineLevel="0" collapsed="false">
      <c r="A138" s="0" t="str">
        <f aca="false">IFERROR(__xludf.dummyfunction("""COMPUTED_VALUE"""),"Ладынская")</f>
        <v>Ладынская</v>
      </c>
      <c r="B138" s="0" t="str">
        <f aca="false">IFERROR(__xludf.dummyfunction("""COMPUTED_VALUE"""),"Дарья")</f>
        <v>Дарья</v>
      </c>
      <c r="C138" s="0" t="n">
        <f aca="false">IFERROR(__xludf.dummyfunction("""COMPUTED_VALUE"""),8)</f>
        <v>8</v>
      </c>
      <c r="D138" s="0" t="n">
        <f aca="false">IFERROR(__xludf.dummyfunction("""COMPUTED_VALUE"""),36)</f>
        <v>36</v>
      </c>
      <c r="E138" s="12" t="str">
        <f aca="false">IFERROR(__xludf.dummyfunction("""COMPUTED_VALUE"""),"Физика. Лабораторный практикум")</f>
        <v>Физика. Лабораторный практикум</v>
      </c>
      <c r="F138" s="1" t="n">
        <f aca="false">TRUE()</f>
        <v>1</v>
      </c>
      <c r="G138" s="1" t="n">
        <f aca="false">TRUE()</f>
        <v>1</v>
      </c>
      <c r="H138" s="1" t="n">
        <f aca="false">TRUE()</f>
        <v>1</v>
      </c>
      <c r="I138" s="1" t="n">
        <f aca="false">TRUE()</f>
        <v>1</v>
      </c>
      <c r="J138" s="1" t="n">
        <f aca="false">TRUE()</f>
        <v>1</v>
      </c>
      <c r="K138" s="0" t="n">
        <f aca="false">IFERROR(__xludf.dummyfunction("""COMPUTED_VALUE"""),123)</f>
        <v>123</v>
      </c>
    </row>
    <row r="139" customFormat="false" ht="15.75" hidden="false" customHeight="false" outlineLevel="0" collapsed="false">
      <c r="A139" s="0" t="str">
        <f aca="false">IFERROR(__xludf.dummyfunction("""COMPUTED_VALUE"""),"Моргун ")</f>
        <v>Моргун</v>
      </c>
      <c r="B139" s="0" t="str">
        <f aca="false">IFERROR(__xludf.dummyfunction("""COMPUTED_VALUE"""),"Иван")</f>
        <v>Иван</v>
      </c>
      <c r="C139" s="0" t="n">
        <f aca="false">IFERROR(__xludf.dummyfunction("""COMPUTED_VALUE"""),9)</f>
        <v>9</v>
      </c>
      <c r="D139" s="0" t="n">
        <f aca="false">IFERROR(__xludf.dummyfunction("""COMPUTED_VALUE"""),117)</f>
        <v>117</v>
      </c>
      <c r="E139" s="12" t="str">
        <f aca="false">IFERROR(__xludf.dummyfunction("""COMPUTED_VALUE"""),"Физика. Лабораторный практикум")</f>
        <v>Физика. Лабораторный практикум</v>
      </c>
      <c r="F139" s="1" t="n">
        <f aca="false">TRUE()</f>
        <v>1</v>
      </c>
      <c r="G139" s="1" t="n">
        <f aca="false">TRUE()</f>
        <v>1</v>
      </c>
      <c r="H139" s="1" t="n">
        <f aca="false">TRUE()</f>
        <v>1</v>
      </c>
      <c r="I139" s="1" t="n">
        <f aca="false">TRUE()</f>
        <v>1</v>
      </c>
      <c r="J139" s="1" t="n">
        <f aca="false">TRUE()</f>
        <v>1</v>
      </c>
      <c r="K139" s="0" t="n">
        <f aca="false">IFERROR(__xludf.dummyfunction("""COMPUTED_VALUE"""),62)</f>
        <v>62</v>
      </c>
    </row>
    <row r="140" customFormat="false" ht="15.75" hidden="false" customHeight="false" outlineLevel="0" collapsed="false">
      <c r="A140" s="0" t="str">
        <f aca="false">IFERROR(__xludf.dummyfunction("""COMPUTED_VALUE"""),"Николаев ")</f>
        <v>Николаев</v>
      </c>
      <c r="B140" s="0" t="str">
        <f aca="false">IFERROR(__xludf.dummyfunction("""COMPUTED_VALUE"""),"Сергей ")</f>
        <v>Сергей</v>
      </c>
      <c r="C140" s="0" t="n">
        <f aca="false">IFERROR(__xludf.dummyfunction("""COMPUTED_VALUE"""),8)</f>
        <v>8</v>
      </c>
      <c r="D140" s="0" t="n">
        <f aca="false">IFERROR(__xludf.dummyfunction("""COMPUTED_VALUE"""),146)</f>
        <v>146</v>
      </c>
      <c r="E140" s="12" t="str">
        <f aca="false">IFERROR(__xludf.dummyfunction("""COMPUTED_VALUE"""),"Физика. Лабораторный практикум")</f>
        <v>Физика. Лабораторный практикум</v>
      </c>
      <c r="F140" s="1" t="n">
        <f aca="false">FALSE()</f>
        <v>0</v>
      </c>
      <c r="G140" s="1" t="n">
        <f aca="false">FALSE()</f>
        <v>0</v>
      </c>
      <c r="H140" s="1" t="n">
        <f aca="false">FALSE()</f>
        <v>0</v>
      </c>
      <c r="I140" s="1" t="n">
        <f aca="false">FALSE()</f>
        <v>0</v>
      </c>
      <c r="J140" s="1" t="n">
        <f aca="false">FALSE()</f>
        <v>0</v>
      </c>
      <c r="K140" s="0" t="n">
        <f aca="false">IFERROR(__xludf.dummyfunction("""COMPUTED_VALUE"""),127)</f>
        <v>127</v>
      </c>
    </row>
    <row r="141" customFormat="false" ht="15.75" hidden="false" customHeight="false" outlineLevel="0" collapsed="false">
      <c r="A141" s="0" t="str">
        <f aca="false">IFERROR(__xludf.dummyfunction("""COMPUTED_VALUE"""),"Панева")</f>
        <v>Панева</v>
      </c>
      <c r="B141" s="0" t="str">
        <f aca="false">IFERROR(__xludf.dummyfunction("""COMPUTED_VALUE"""),"Иляна ")</f>
        <v>Иляна</v>
      </c>
      <c r="C141" s="0" t="n">
        <f aca="false">IFERROR(__xludf.dummyfunction("""COMPUTED_VALUE"""),10)</f>
        <v>10</v>
      </c>
      <c r="D141" s="0" t="n">
        <f aca="false">IFERROR(__xludf.dummyfunction("""COMPUTED_VALUE"""),149)</f>
        <v>149</v>
      </c>
      <c r="E141" s="12" t="str">
        <f aca="false">IFERROR(__xludf.dummyfunction("""COMPUTED_VALUE"""),"Физика. Лабораторный практикум")</f>
        <v>Физика. Лабораторный практикум</v>
      </c>
      <c r="F141" s="1" t="n">
        <f aca="false">FALSE()</f>
        <v>0</v>
      </c>
      <c r="G141" s="1" t="n">
        <f aca="false">FALSE()</f>
        <v>0</v>
      </c>
      <c r="H141" s="1" t="n">
        <f aca="false">FALSE()</f>
        <v>0</v>
      </c>
      <c r="I141" s="1" t="n">
        <f aca="false">FALSE()</f>
        <v>0</v>
      </c>
      <c r="J141" s="1" t="n">
        <f aca="false">FALSE()</f>
        <v>0</v>
      </c>
      <c r="K141" s="0" t="n">
        <f aca="false">IFERROR(__xludf.dummyfunction("""COMPUTED_VALUE"""),128)</f>
        <v>128</v>
      </c>
    </row>
    <row r="142" customFormat="false" ht="15.75" hidden="false" customHeight="false" outlineLevel="0" collapsed="false">
      <c r="A142" s="0" t="str">
        <f aca="false">IFERROR(__xludf.dummyfunction("""COMPUTED_VALUE"""),"Пьянзин")</f>
        <v>Пьянзин</v>
      </c>
      <c r="B142" s="0" t="str">
        <f aca="false">IFERROR(__xludf.dummyfunction("""COMPUTED_VALUE"""),"Богдан")</f>
        <v>Богдан</v>
      </c>
      <c r="C142" s="0" t="n">
        <f aca="false">IFERROR(__xludf.dummyfunction("""COMPUTED_VALUE"""),8)</f>
        <v>8</v>
      </c>
      <c r="D142" s="0" t="n">
        <f aca="false">IFERROR(__xludf.dummyfunction("""COMPUTED_VALUE"""),117)</f>
        <v>117</v>
      </c>
      <c r="E142" s="12" t="str">
        <f aca="false">IFERROR(__xludf.dummyfunction("""COMPUTED_VALUE"""),"Физика. Лабораторный практикум")</f>
        <v>Физика. Лабораторный практикум</v>
      </c>
      <c r="F142" s="1" t="n">
        <f aca="false">TRUE()</f>
        <v>1</v>
      </c>
      <c r="G142" s="1" t="n">
        <f aca="false">TRUE()</f>
        <v>1</v>
      </c>
      <c r="H142" s="1" t="n">
        <f aca="false">TRUE()</f>
        <v>1</v>
      </c>
      <c r="I142" s="1" t="n">
        <f aca="false">TRUE()</f>
        <v>1</v>
      </c>
      <c r="J142" s="1" t="n">
        <f aca="false">TRUE()</f>
        <v>1</v>
      </c>
      <c r="K142" s="0" t="n">
        <f aca="false">IFERROR(__xludf.dummyfunction("""COMPUTED_VALUE"""),97)</f>
        <v>97</v>
      </c>
    </row>
    <row r="143" customFormat="false" ht="15.75" hidden="false" customHeight="false" outlineLevel="0" collapsed="false">
      <c r="A143" s="0" t="str">
        <f aca="false">IFERROR(__xludf.dummyfunction("""COMPUTED_VALUE"""),"Рядовой")</f>
        <v>Рядовой</v>
      </c>
      <c r="B143" s="0" t="str">
        <f aca="false">IFERROR(__xludf.dummyfunction("""COMPUTED_VALUE"""),"Тимофей")</f>
        <v>Тимофей</v>
      </c>
      <c r="C143" s="0" t="n">
        <f aca="false">IFERROR(__xludf.dummyfunction("""COMPUTED_VALUE"""),9)</f>
        <v>9</v>
      </c>
      <c r="D143" s="0" t="n">
        <f aca="false">IFERROR(__xludf.dummyfunction("""COMPUTED_VALUE"""),117)</f>
        <v>117</v>
      </c>
      <c r="E143" s="12" t="str">
        <f aca="false">IFERROR(__xludf.dummyfunction("""COMPUTED_VALUE"""),"Физика. Лабораторный практикум")</f>
        <v>Физика. Лабораторный практикум</v>
      </c>
      <c r="F143" s="1" t="n">
        <f aca="false">TRUE()</f>
        <v>1</v>
      </c>
      <c r="G143" s="1" t="n">
        <f aca="false">TRUE()</f>
        <v>1</v>
      </c>
      <c r="H143" s="1" t="n">
        <f aca="false">FALSE()</f>
        <v>0</v>
      </c>
      <c r="I143" s="1" t="n">
        <f aca="false">TRUE()</f>
        <v>1</v>
      </c>
      <c r="J143" s="1" t="n">
        <f aca="false">TRUE()</f>
        <v>1</v>
      </c>
      <c r="K143" s="0" t="n">
        <f aca="false">IFERROR(__xludf.dummyfunction("""COMPUTED_VALUE"""),61)</f>
        <v>61</v>
      </c>
    </row>
    <row r="144" customFormat="false" ht="15.75" hidden="false" customHeight="false" outlineLevel="0" collapsed="false">
      <c r="A144" s="0" t="str">
        <f aca="false">IFERROR(__xludf.dummyfunction("""COMPUTED_VALUE"""),"Смирнов")</f>
        <v>Смирнов</v>
      </c>
      <c r="B144" s="0" t="str">
        <f aca="false">IFERROR(__xludf.dummyfunction("""COMPUTED_VALUE"""),"Михаил")</f>
        <v>Михаил</v>
      </c>
      <c r="C144" s="0" t="n">
        <f aca="false">IFERROR(__xludf.dummyfunction("""COMPUTED_VALUE"""),9)</f>
        <v>9</v>
      </c>
      <c r="D144" s="0" t="n">
        <f aca="false">IFERROR(__xludf.dummyfunction("""COMPUTED_VALUE"""),117)</f>
        <v>117</v>
      </c>
      <c r="E144" s="12" t="str">
        <f aca="false">IFERROR(__xludf.dummyfunction("""COMPUTED_VALUE"""),"Физика. Лабораторный практикум")</f>
        <v>Физика. Лабораторный практикум</v>
      </c>
      <c r="F144" s="1" t="n">
        <f aca="false">TRUE()</f>
        <v>1</v>
      </c>
      <c r="G144" s="1" t="n">
        <f aca="false">TRUE()</f>
        <v>1</v>
      </c>
      <c r="H144" s="1" t="n">
        <f aca="false">TRUE()</f>
        <v>1</v>
      </c>
      <c r="I144" s="1" t="n">
        <f aca="false">TRUE()</f>
        <v>1</v>
      </c>
      <c r="J144" s="1" t="n">
        <f aca="false">TRUE()</f>
        <v>1</v>
      </c>
      <c r="K144" s="0" t="n">
        <f aca="false">IFERROR(__xludf.dummyfunction("""COMPUTED_VALUE"""),124)</f>
        <v>124</v>
      </c>
    </row>
    <row r="145" customFormat="false" ht="15.75" hidden="false" customHeight="false" outlineLevel="0" collapsed="false">
      <c r="A145" s="0" t="str">
        <f aca="false">IFERROR(__xludf.dummyfunction("""COMPUTED_VALUE"""),"Волченко")</f>
        <v>Волченко</v>
      </c>
      <c r="B145" s="0" t="str">
        <f aca="false">IFERROR(__xludf.dummyfunction("""COMPUTED_VALUE"""),"Вадим")</f>
        <v>Вадим</v>
      </c>
      <c r="C145" s="0" t="n">
        <f aca="false">IFERROR(__xludf.dummyfunction("""COMPUTED_VALUE"""),9)</f>
        <v>9</v>
      </c>
      <c r="D145" s="0" t="n">
        <f aca="false">IFERROR(__xludf.dummyfunction("""COMPUTED_VALUE"""),117)</f>
        <v>117</v>
      </c>
      <c r="E145" s="12" t="str">
        <f aca="false">IFERROR(__xludf.dummyfunction("""COMPUTED_VALUE"""),"R: работа со структурой данных")</f>
        <v>R: работа со структурой данных</v>
      </c>
      <c r="F145" s="1" t="n">
        <f aca="false">FALSE()</f>
        <v>0</v>
      </c>
      <c r="G145" s="1" t="n">
        <f aca="false">FALSE()</f>
        <v>0</v>
      </c>
      <c r="H145" s="1" t="n">
        <f aca="false">FALSE()</f>
        <v>0</v>
      </c>
      <c r="I145" s="1" t="n">
        <f aca="false">FALSE()</f>
        <v>0</v>
      </c>
      <c r="J145" s="1" t="n">
        <f aca="false">FALSE()</f>
        <v>0</v>
      </c>
      <c r="K145" s="0" t="n">
        <f aca="false">IFERROR(__xludf.dummyfunction("""COMPUTED_VALUE"""),141)</f>
        <v>141</v>
      </c>
    </row>
    <row r="146" customFormat="false" ht="15.75" hidden="false" customHeight="false" outlineLevel="0" collapsed="false">
      <c r="A146" s="0" t="str">
        <f aca="false">IFERROR(__xludf.dummyfunction("""COMPUTED_VALUE"""),"Деркач")</f>
        <v>Деркач</v>
      </c>
      <c r="B146" s="0" t="str">
        <f aca="false">IFERROR(__xludf.dummyfunction("""COMPUTED_VALUE"""),"Александра")</f>
        <v>Александра</v>
      </c>
      <c r="C146" s="0" t="n">
        <f aca="false">IFERROR(__xludf.dummyfunction("""COMPUTED_VALUE"""),9)</f>
        <v>9</v>
      </c>
      <c r="D146" s="0" t="n">
        <f aca="false">IFERROR(__xludf.dummyfunction("""COMPUTED_VALUE"""),117)</f>
        <v>117</v>
      </c>
      <c r="E146" s="12" t="str">
        <f aca="false">IFERROR(__xludf.dummyfunction("""COMPUTED_VALUE"""),"R: работа со структурой данных")</f>
        <v>R: работа со структурой данных</v>
      </c>
      <c r="F146" s="1" t="n">
        <f aca="false">FALSE()</f>
        <v>0</v>
      </c>
      <c r="G146" s="1" t="n">
        <f aca="false">FALSE()</f>
        <v>0</v>
      </c>
      <c r="H146" s="1" t="n">
        <f aca="false">FALSE()</f>
        <v>0</v>
      </c>
      <c r="I146" s="1" t="n">
        <f aca="false">FALSE()</f>
        <v>0</v>
      </c>
      <c r="J146" s="1" t="n">
        <f aca="false">FALSE()</f>
        <v>0</v>
      </c>
      <c r="K146" s="0" t="n">
        <f aca="false">IFERROR(__xludf.dummyfunction("""COMPUTED_VALUE"""),35)</f>
        <v>35</v>
      </c>
    </row>
    <row r="147" customFormat="false" ht="15.75" hidden="false" customHeight="false" outlineLevel="0" collapsed="false">
      <c r="A147" s="0" t="str">
        <f aca="false">IFERROR(__xludf.dummyfunction("""COMPUTED_VALUE"""),"Колесник")</f>
        <v>Колесник</v>
      </c>
      <c r="B147" s="0" t="str">
        <f aca="false">IFERROR(__xludf.dummyfunction("""COMPUTED_VALUE"""),"Артём")</f>
        <v>Артём</v>
      </c>
      <c r="C147" s="0" t="n">
        <f aca="false">IFERROR(__xludf.dummyfunction("""COMPUTED_VALUE"""),10)</f>
        <v>10</v>
      </c>
      <c r="D147" s="0" t="n">
        <f aca="false">IFERROR(__xludf.dummyfunction("""COMPUTED_VALUE"""),64)</f>
        <v>64</v>
      </c>
      <c r="E147" s="12" t="str">
        <f aca="false">IFERROR(__xludf.dummyfunction("""COMPUTED_VALUE"""),"R: работа со структурой данных")</f>
        <v>R: работа со структурой данных</v>
      </c>
      <c r="F147" s="1" t="n">
        <f aca="false">TRUE()</f>
        <v>1</v>
      </c>
      <c r="G147" s="1" t="n">
        <f aca="false">TRUE()</f>
        <v>1</v>
      </c>
      <c r="H147" s="1" t="n">
        <f aca="false">TRUE()</f>
        <v>1</v>
      </c>
      <c r="I147" s="1" t="n">
        <f aca="false">FALSE()</f>
        <v>0</v>
      </c>
      <c r="J147" s="1" t="n">
        <f aca="false">TRUE()</f>
        <v>1</v>
      </c>
      <c r="K147" s="0" t="n">
        <f aca="false">IFERROR(__xludf.dummyfunction("""COMPUTED_VALUE"""),11)</f>
        <v>11</v>
      </c>
    </row>
    <row r="148" customFormat="false" ht="15.75" hidden="false" customHeight="false" outlineLevel="0" collapsed="false">
      <c r="A148" s="0" t="str">
        <f aca="false">IFERROR(__xludf.dummyfunction("""COMPUTED_VALUE"""),"Лисовский")</f>
        <v>Лисовский</v>
      </c>
      <c r="B148" s="0" t="str">
        <f aca="false">IFERROR(__xludf.dummyfunction("""COMPUTED_VALUE"""),"Роман")</f>
        <v>Роман</v>
      </c>
      <c r="C148" s="0" t="n">
        <f aca="false">IFERROR(__xludf.dummyfunction("""COMPUTED_VALUE"""),9)</f>
        <v>9</v>
      </c>
      <c r="D148" s="0" t="n">
        <f aca="false">IFERROR(__xludf.dummyfunction("""COMPUTED_VALUE"""),139)</f>
        <v>139</v>
      </c>
      <c r="E148" s="12" t="str">
        <f aca="false">IFERROR(__xludf.dummyfunction("""COMPUTED_VALUE"""),"R: работа со структурой данных")</f>
        <v>R: работа со структурой данных</v>
      </c>
      <c r="F148" s="1" t="n">
        <f aca="false">TRUE()</f>
        <v>1</v>
      </c>
      <c r="G148" s="1" t="n">
        <f aca="false">TRUE()</f>
        <v>1</v>
      </c>
      <c r="H148" s="1" t="n">
        <f aca="false">TRUE()</f>
        <v>1</v>
      </c>
      <c r="I148" s="1" t="n">
        <f aca="false">TRUE()</f>
        <v>1</v>
      </c>
      <c r="J148" s="1" t="n">
        <f aca="false">TRUE()</f>
        <v>1</v>
      </c>
      <c r="K148" s="0" t="n">
        <f aca="false">IFERROR(__xludf.dummyfunction("""COMPUTED_VALUE"""),168)</f>
        <v>168</v>
      </c>
    </row>
    <row r="149" customFormat="false" ht="15.75" hidden="false" customHeight="false" outlineLevel="0" collapsed="false">
      <c r="A149" s="0" t="str">
        <f aca="false">IFERROR(__xludf.dummyfunction("""COMPUTED_VALUE"""),"Мороз")</f>
        <v>Мороз</v>
      </c>
      <c r="B149" s="0" t="str">
        <f aca="false">IFERROR(__xludf.dummyfunction("""COMPUTED_VALUE"""),"Семён")</f>
        <v>Семён</v>
      </c>
      <c r="C149" s="0" t="n">
        <f aca="false">IFERROR(__xludf.dummyfunction("""COMPUTED_VALUE"""),9)</f>
        <v>9</v>
      </c>
      <c r="D149" s="0" t="n">
        <f aca="false">IFERROR(__xludf.dummyfunction("""COMPUTED_VALUE"""),117)</f>
        <v>117</v>
      </c>
      <c r="E149" s="12" t="str">
        <f aca="false">IFERROR(__xludf.dummyfunction("""COMPUTED_VALUE"""),"R: работа со структурой данных")</f>
        <v>R: работа со структурой данных</v>
      </c>
      <c r="F149" s="1" t="n">
        <f aca="false">TRUE()</f>
        <v>1</v>
      </c>
      <c r="G149" s="1" t="n">
        <f aca="false">TRUE()</f>
        <v>1</v>
      </c>
      <c r="H149" s="1" t="n">
        <f aca="false">TRUE()</f>
        <v>1</v>
      </c>
      <c r="I149" s="1" t="n">
        <f aca="false">FALSE()</f>
        <v>0</v>
      </c>
      <c r="J149" s="1" t="n">
        <f aca="false">FALSE()</f>
        <v>0</v>
      </c>
      <c r="K149" s="0" t="n">
        <f aca="false">IFERROR(__xludf.dummyfunction("""COMPUTED_VALUE"""),151)</f>
        <v>151</v>
      </c>
    </row>
    <row r="150" customFormat="false" ht="15.75" hidden="false" customHeight="false" outlineLevel="0" collapsed="false">
      <c r="A150" s="0" t="str">
        <f aca="false">IFERROR(__xludf.dummyfunction("""COMPUTED_VALUE"""),"Перевальская")</f>
        <v>Перевальская</v>
      </c>
      <c r="B150" s="0" t="str">
        <f aca="false">IFERROR(__xludf.dummyfunction("""COMPUTED_VALUE"""),"Алена")</f>
        <v>Алена</v>
      </c>
      <c r="C150" s="0" t="n">
        <f aca="false">IFERROR(__xludf.dummyfunction("""COMPUTED_VALUE"""),8)</f>
        <v>8</v>
      </c>
      <c r="D150" s="0" t="n">
        <f aca="false">IFERROR(__xludf.dummyfunction("""COMPUTED_VALUE"""),117)</f>
        <v>117</v>
      </c>
      <c r="E150" s="12" t="str">
        <f aca="false">IFERROR(__xludf.dummyfunction("""COMPUTED_VALUE"""),"R: работа со структурой данных")</f>
        <v>R: работа со структурой данных</v>
      </c>
      <c r="F150" s="1" t="n">
        <f aca="false">TRUE()</f>
        <v>1</v>
      </c>
      <c r="G150" s="1" t="n">
        <f aca="false">TRUE()</f>
        <v>1</v>
      </c>
      <c r="H150" s="1" t="n">
        <f aca="false">TRUE()</f>
        <v>1</v>
      </c>
      <c r="I150" s="1" t="n">
        <f aca="false">FALSE()</f>
        <v>0</v>
      </c>
      <c r="J150" s="1" t="n">
        <f aca="false">FALSE()</f>
        <v>0</v>
      </c>
      <c r="K150" s="0" t="n">
        <f aca="false">IFERROR(__xludf.dummyfunction("""COMPUTED_VALUE"""),157)</f>
        <v>157</v>
      </c>
    </row>
    <row r="151" customFormat="false" ht="15.75" hidden="false" customHeight="false" outlineLevel="0" collapsed="false">
      <c r="A151" s="0" t="str">
        <f aca="false">IFERROR(__xludf.dummyfunction("""COMPUTED_VALUE"""),"Прохоров")</f>
        <v>Прохоров</v>
      </c>
      <c r="B151" s="0" t="str">
        <f aca="false">IFERROR(__xludf.dummyfunction("""COMPUTED_VALUE"""),"Сергей")</f>
        <v>Сергей</v>
      </c>
      <c r="C151" s="0" t="n">
        <f aca="false">IFERROR(__xludf.dummyfunction("""COMPUTED_VALUE"""),9)</f>
        <v>9</v>
      </c>
      <c r="D151" s="0" t="n">
        <f aca="false">IFERROR(__xludf.dummyfunction("""COMPUTED_VALUE"""),139)</f>
        <v>139</v>
      </c>
      <c r="E151" s="12" t="str">
        <f aca="false">IFERROR(__xludf.dummyfunction("""COMPUTED_VALUE"""),"R: работа со структурой данных")</f>
        <v>R: работа со структурой данных</v>
      </c>
      <c r="F151" s="1" t="n">
        <f aca="false">TRUE()</f>
        <v>1</v>
      </c>
      <c r="G151" s="1" t="n">
        <f aca="false">TRUE()</f>
        <v>1</v>
      </c>
      <c r="H151" s="1" t="n">
        <f aca="false">TRUE()</f>
        <v>1</v>
      </c>
      <c r="I151" s="1" t="n">
        <f aca="false">TRUE()</f>
        <v>1</v>
      </c>
      <c r="J151" s="1" t="n">
        <f aca="false">TRUE()</f>
        <v>1</v>
      </c>
      <c r="K151" s="0" t="n">
        <f aca="false">IFERROR(__xludf.dummyfunction("""COMPUTED_VALUE"""),47)</f>
        <v>47</v>
      </c>
    </row>
    <row r="152" customFormat="false" ht="15.75" hidden="false" customHeight="false" outlineLevel="0" collapsed="false">
      <c r="A152" s="0" t="str">
        <f aca="false">IFERROR(__xludf.dummyfunction("""COMPUTED_VALUE"""),"Семенов")</f>
        <v>Семенов</v>
      </c>
      <c r="B152" s="0" t="str">
        <f aca="false">IFERROR(__xludf.dummyfunction("""COMPUTED_VALUE"""),"Егор")</f>
        <v>Егор</v>
      </c>
      <c r="C152" s="0" t="n">
        <f aca="false">IFERROR(__xludf.dummyfunction("""COMPUTED_VALUE"""),9)</f>
        <v>9</v>
      </c>
      <c r="D152" s="0" t="n">
        <f aca="false">IFERROR(__xludf.dummyfunction("""COMPUTED_VALUE"""),117)</f>
        <v>117</v>
      </c>
      <c r="E152" s="12" t="str">
        <f aca="false">IFERROR(__xludf.dummyfunction("""COMPUTED_VALUE"""),"R: работа со структурой данных")</f>
        <v>R: работа со структурой данных</v>
      </c>
      <c r="F152" s="1" t="n">
        <f aca="false">TRUE()</f>
        <v>1</v>
      </c>
      <c r="G152" s="1" t="n">
        <f aca="false">FALSE()</f>
        <v>0</v>
      </c>
      <c r="H152" s="1" t="n">
        <f aca="false">TRUE()</f>
        <v>1</v>
      </c>
      <c r="I152" s="1" t="n">
        <f aca="false">FALSE()</f>
        <v>0</v>
      </c>
      <c r="J152" s="1" t="n">
        <f aca="false">FALSE()</f>
        <v>0</v>
      </c>
      <c r="K152" s="0" t="n">
        <f aca="false">IFERROR(__xludf.dummyfunction("""COMPUTED_VALUE"""),150)</f>
        <v>150</v>
      </c>
    </row>
    <row r="153" customFormat="false" ht="15.75" hidden="false" customHeight="false" outlineLevel="0" collapsed="false">
      <c r="A153" s="0" t="str">
        <f aca="false">IFERROR(__xludf.dummyfunction("""COMPUTED_VALUE"""),"Тимомеев")</f>
        <v>Тимомеев</v>
      </c>
      <c r="B153" s="0" t="str">
        <f aca="false">IFERROR(__xludf.dummyfunction("""COMPUTED_VALUE"""),"Рустам")</f>
        <v>Рустам</v>
      </c>
      <c r="C153" s="0" t="n">
        <f aca="false">IFERROR(__xludf.dummyfunction("""COMPUTED_VALUE"""),10)</f>
        <v>10</v>
      </c>
      <c r="D153" s="0" t="n">
        <f aca="false">IFERROR(__xludf.dummyfunction("""COMPUTED_VALUE"""),117)</f>
        <v>117</v>
      </c>
      <c r="E153" s="12" t="str">
        <f aca="false">IFERROR(__xludf.dummyfunction("""COMPUTED_VALUE"""),"R: работа со структурой данных")</f>
        <v>R: работа со структурой данных</v>
      </c>
      <c r="F153" s="1" t="n">
        <f aca="false">FALSE()</f>
        <v>0</v>
      </c>
      <c r="G153" s="1" t="n">
        <f aca="false">FALSE()</f>
        <v>0</v>
      </c>
      <c r="H153" s="1" t="n">
        <f aca="false">FALSE()</f>
        <v>0</v>
      </c>
      <c r="I153" s="1" t="n">
        <f aca="false">FALSE()</f>
        <v>0</v>
      </c>
      <c r="J153" s="1" t="n">
        <f aca="false">FALSE()</f>
        <v>0</v>
      </c>
      <c r="K153" s="0" t="n">
        <f aca="false">IFERROR(__xludf.dummyfunction("""COMPUTED_VALUE"""),132)</f>
        <v>132</v>
      </c>
    </row>
    <row r="154" customFormat="false" ht="15.75" hidden="false" customHeight="false" outlineLevel="0" collapsed="false">
      <c r="E154" s="12"/>
      <c r="F154" s="1" t="n">
        <f aca="false">FALSE()</f>
        <v>0</v>
      </c>
      <c r="G154" s="1" t="n">
        <f aca="false">FALSE()</f>
        <v>0</v>
      </c>
      <c r="H154" s="1" t="n">
        <f aca="false">FALSE()</f>
        <v>0</v>
      </c>
      <c r="I154" s="1" t="n">
        <f aca="false">FALSE()</f>
        <v>0</v>
      </c>
      <c r="J154" s="1" t="n">
        <f aca="false">FALSE()</f>
        <v>0</v>
      </c>
      <c r="K154" s="0" t="n">
        <f aca="false">IFERROR(__xludf.dummyfunction("""COMPUTED_VALUE"""),177)</f>
        <v>177</v>
      </c>
    </row>
    <row r="155" customFormat="false" ht="15.75" hidden="false" customHeight="false" outlineLevel="0" collapsed="false">
      <c r="E155" s="12"/>
      <c r="F155" s="1" t="n">
        <f aca="false">FALSE()</f>
        <v>0</v>
      </c>
      <c r="G155" s="1" t="n">
        <f aca="false">FALSE()</f>
        <v>0</v>
      </c>
      <c r="H155" s="1" t="n">
        <f aca="false">FALSE()</f>
        <v>0</v>
      </c>
      <c r="I155" s="1" t="n">
        <f aca="false">FALSE()</f>
        <v>0</v>
      </c>
      <c r="J155" s="1" t="n">
        <f aca="false">FALSE()</f>
        <v>0</v>
      </c>
      <c r="K155" s="0" t="n">
        <f aca="false">IFERROR(__xludf.dummyfunction("""COMPUTED_VALUE"""),178)</f>
        <v>178</v>
      </c>
    </row>
    <row r="156" customFormat="false" ht="15.75" hidden="false" customHeight="false" outlineLevel="0" collapsed="false">
      <c r="E156" s="12"/>
      <c r="F156" s="1" t="n">
        <f aca="false">FALSE()</f>
        <v>0</v>
      </c>
      <c r="G156" s="1" t="n">
        <f aca="false">FALSE()</f>
        <v>0</v>
      </c>
      <c r="H156" s="1" t="n">
        <f aca="false">FALSE()</f>
        <v>0</v>
      </c>
      <c r="I156" s="1" t="n">
        <f aca="false">FALSE()</f>
        <v>0</v>
      </c>
      <c r="J156" s="1" t="n">
        <f aca="false">FALSE()</f>
        <v>0</v>
      </c>
      <c r="K156" s="0" t="n">
        <f aca="false">IFERROR(__xludf.dummyfunction("""COMPUTED_VALUE"""),179)</f>
        <v>179</v>
      </c>
    </row>
    <row r="157" customFormat="false" ht="15.75" hidden="false" customHeight="false" outlineLevel="0" collapsed="false">
      <c r="E157" s="12"/>
      <c r="F157" s="1" t="n">
        <f aca="false">FALSE()</f>
        <v>0</v>
      </c>
      <c r="G157" s="1" t="n">
        <f aca="false">FALSE()</f>
        <v>0</v>
      </c>
      <c r="H157" s="1" t="n">
        <f aca="false">FALSE()</f>
        <v>0</v>
      </c>
      <c r="I157" s="1" t="n">
        <f aca="false">FALSE()</f>
        <v>0</v>
      </c>
      <c r="J157" s="1" t="n">
        <f aca="false">FALSE()</f>
        <v>0</v>
      </c>
      <c r="K157" s="0" t="n">
        <f aca="false">IFERROR(__xludf.dummyfunction("""COMPUTED_VALUE"""),180)</f>
        <v>180</v>
      </c>
    </row>
    <row r="158" customFormat="false" ht="15.75" hidden="false" customHeight="false" outlineLevel="0" collapsed="false">
      <c r="E158" s="12"/>
      <c r="F158" s="1" t="n">
        <f aca="false">FALSE()</f>
        <v>0</v>
      </c>
      <c r="G158" s="1" t="n">
        <f aca="false">FALSE()</f>
        <v>0</v>
      </c>
      <c r="H158" s="1" t="n">
        <f aca="false">FALSE()</f>
        <v>0</v>
      </c>
      <c r="I158" s="1" t="n">
        <f aca="false">FALSE()</f>
        <v>0</v>
      </c>
      <c r="J158" s="1" t="n">
        <f aca="false">FALSE()</f>
        <v>0</v>
      </c>
      <c r="K158" s="0" t="n">
        <f aca="false">IFERROR(__xludf.dummyfunction("""COMPUTED_VALUE"""),181)</f>
        <v>181</v>
      </c>
    </row>
    <row r="159" customFormat="false" ht="15.75" hidden="false" customHeight="false" outlineLevel="0" collapsed="false">
      <c r="E159" s="12"/>
      <c r="F159" s="1" t="n">
        <f aca="false">FALSE()</f>
        <v>0</v>
      </c>
      <c r="G159" s="1" t="n">
        <f aca="false">FALSE()</f>
        <v>0</v>
      </c>
      <c r="H159" s="1" t="n">
        <f aca="false">FALSE()</f>
        <v>0</v>
      </c>
      <c r="I159" s="1" t="n">
        <f aca="false">FALSE()</f>
        <v>0</v>
      </c>
      <c r="J159" s="1" t="n">
        <f aca="false">FALSE()</f>
        <v>0</v>
      </c>
      <c r="K159" s="0" t="n">
        <f aca="false">IFERROR(__xludf.dummyfunction("""COMPUTED_VALUE"""),182)</f>
        <v>182</v>
      </c>
    </row>
    <row r="160" customFormat="false" ht="15.75" hidden="false" customHeight="false" outlineLevel="0" collapsed="false">
      <c r="E160" s="12"/>
      <c r="F160" s="1" t="n">
        <f aca="false">FALSE()</f>
        <v>0</v>
      </c>
      <c r="G160" s="1" t="n">
        <f aca="false">FALSE()</f>
        <v>0</v>
      </c>
      <c r="H160" s="1" t="n">
        <f aca="false">FALSE()</f>
        <v>0</v>
      </c>
      <c r="I160" s="1" t="n">
        <f aca="false">FALSE()</f>
        <v>0</v>
      </c>
      <c r="J160" s="1" t="n">
        <f aca="false">FALSE()</f>
        <v>0</v>
      </c>
      <c r="K160" s="0" t="n">
        <f aca="false">IFERROR(__xludf.dummyfunction("""COMPUTED_VALUE"""),183)</f>
        <v>183</v>
      </c>
    </row>
    <row r="161" customFormat="false" ht="15.75" hidden="false" customHeight="false" outlineLevel="0" collapsed="false">
      <c r="E161" s="12"/>
      <c r="F161" s="1" t="n">
        <f aca="false">FALSE()</f>
        <v>0</v>
      </c>
      <c r="G161" s="1" t="n">
        <f aca="false">FALSE()</f>
        <v>0</v>
      </c>
      <c r="H161" s="1" t="n">
        <f aca="false">FALSE()</f>
        <v>0</v>
      </c>
      <c r="I161" s="1" t="n">
        <f aca="false">FALSE()</f>
        <v>0</v>
      </c>
      <c r="J161" s="1" t="n">
        <f aca="false">FALSE()</f>
        <v>0</v>
      </c>
      <c r="K161" s="0" t="n">
        <f aca="false">IFERROR(__xludf.dummyfunction("""COMPUTED_VALUE"""),184)</f>
        <v>184</v>
      </c>
    </row>
    <row r="162" customFormat="false" ht="15.75" hidden="false" customHeight="false" outlineLevel="0" collapsed="false">
      <c r="E162" s="12"/>
      <c r="F162" s="1" t="n">
        <f aca="false">FALSE()</f>
        <v>0</v>
      </c>
      <c r="G162" s="1" t="n">
        <f aca="false">FALSE()</f>
        <v>0</v>
      </c>
      <c r="H162" s="1" t="n">
        <f aca="false">FALSE()</f>
        <v>0</v>
      </c>
      <c r="I162" s="1" t="n">
        <f aca="false">FALSE()</f>
        <v>0</v>
      </c>
      <c r="J162" s="1" t="n">
        <f aca="false">FALSE()</f>
        <v>0</v>
      </c>
      <c r="K162" s="0" t="n">
        <f aca="false">IFERROR(__xludf.dummyfunction("""COMPUTED_VALUE"""),185)</f>
        <v>185</v>
      </c>
    </row>
    <row r="163" customFormat="false" ht="15.75" hidden="false" customHeight="false" outlineLevel="0" collapsed="false">
      <c r="E163" s="12"/>
      <c r="F163" s="1" t="n">
        <f aca="false">FALSE()</f>
        <v>0</v>
      </c>
      <c r="G163" s="1" t="n">
        <f aca="false">FALSE()</f>
        <v>0</v>
      </c>
      <c r="H163" s="1" t="n">
        <f aca="false">FALSE()</f>
        <v>0</v>
      </c>
      <c r="I163" s="1" t="n">
        <f aca="false">FALSE()</f>
        <v>0</v>
      </c>
      <c r="J163" s="1" t="n">
        <f aca="false">FALSE()</f>
        <v>0</v>
      </c>
      <c r="K163" s="0" t="n">
        <f aca="false">IFERROR(__xludf.dummyfunction("""COMPUTED_VALUE"""),186)</f>
        <v>186</v>
      </c>
    </row>
    <row r="164" customFormat="false" ht="15.75" hidden="false" customHeight="false" outlineLevel="0" collapsed="false">
      <c r="E164" s="12"/>
      <c r="F164" s="1" t="n">
        <f aca="false">FALSE()</f>
        <v>0</v>
      </c>
      <c r="G164" s="1" t="n">
        <f aca="false">FALSE()</f>
        <v>0</v>
      </c>
      <c r="H164" s="1" t="n">
        <f aca="false">FALSE()</f>
        <v>0</v>
      </c>
      <c r="I164" s="1" t="n">
        <f aca="false">FALSE()</f>
        <v>0</v>
      </c>
      <c r="J164" s="1" t="n">
        <f aca="false">FALSE()</f>
        <v>0</v>
      </c>
      <c r="K164" s="0" t="n">
        <f aca="false">IFERROR(__xludf.dummyfunction("""COMPUTED_VALUE"""),187)</f>
        <v>187</v>
      </c>
    </row>
    <row r="165" customFormat="false" ht="15.75" hidden="false" customHeight="false" outlineLevel="0" collapsed="false">
      <c r="E165" s="12"/>
      <c r="F165" s="1" t="n">
        <f aca="false">FALSE()</f>
        <v>0</v>
      </c>
      <c r="G165" s="1" t="n">
        <f aca="false">FALSE()</f>
        <v>0</v>
      </c>
      <c r="H165" s="1" t="n">
        <f aca="false">FALSE()</f>
        <v>0</v>
      </c>
      <c r="I165" s="1" t="n">
        <f aca="false">FALSE()</f>
        <v>0</v>
      </c>
      <c r="J165" s="1" t="n">
        <f aca="false">FALSE()</f>
        <v>0</v>
      </c>
      <c r="K165" s="0" t="n">
        <f aca="false">IFERROR(__xludf.dummyfunction("""COMPUTED_VALUE"""),188)</f>
        <v>188</v>
      </c>
    </row>
    <row r="166" customFormat="false" ht="15.75" hidden="false" customHeight="false" outlineLevel="0" collapsed="false">
      <c r="E166" s="12"/>
      <c r="F166" s="1" t="n">
        <f aca="false">FALSE()</f>
        <v>0</v>
      </c>
      <c r="G166" s="1" t="n">
        <f aca="false">FALSE()</f>
        <v>0</v>
      </c>
      <c r="H166" s="1" t="n">
        <f aca="false">FALSE()</f>
        <v>0</v>
      </c>
      <c r="I166" s="1" t="n">
        <f aca="false">FALSE()</f>
        <v>0</v>
      </c>
      <c r="J166" s="1" t="n">
        <f aca="false">FALSE()</f>
        <v>0</v>
      </c>
      <c r="K166" s="0" t="n">
        <f aca="false">IFERROR(__xludf.dummyfunction("""COMPUTED_VALUE"""),189)</f>
        <v>189</v>
      </c>
    </row>
    <row r="167" customFormat="false" ht="15.75" hidden="false" customHeight="false" outlineLevel="0" collapsed="false">
      <c r="E167" s="12"/>
      <c r="F167" s="1" t="n">
        <f aca="false">FALSE()</f>
        <v>0</v>
      </c>
      <c r="G167" s="1" t="n">
        <f aca="false">FALSE()</f>
        <v>0</v>
      </c>
      <c r="H167" s="1" t="n">
        <f aca="false">FALSE()</f>
        <v>0</v>
      </c>
      <c r="I167" s="1" t="n">
        <f aca="false">FALSE()</f>
        <v>0</v>
      </c>
      <c r="J167" s="1" t="n">
        <f aca="false">FALSE()</f>
        <v>0</v>
      </c>
      <c r="K167" s="0" t="n">
        <f aca="false">IFERROR(__xludf.dummyfunction("""COMPUTED_VALUE"""),190)</f>
        <v>190</v>
      </c>
    </row>
    <row r="168" customFormat="false" ht="15.75" hidden="false" customHeight="false" outlineLevel="0" collapsed="false">
      <c r="E168" s="12"/>
      <c r="F168" s="1" t="n">
        <f aca="false">FALSE()</f>
        <v>0</v>
      </c>
      <c r="G168" s="1" t="n">
        <f aca="false">FALSE()</f>
        <v>0</v>
      </c>
      <c r="H168" s="1" t="n">
        <f aca="false">FALSE()</f>
        <v>0</v>
      </c>
      <c r="I168" s="1" t="n">
        <f aca="false">FALSE()</f>
        <v>0</v>
      </c>
      <c r="J168" s="1" t="n">
        <f aca="false">FALSE()</f>
        <v>0</v>
      </c>
      <c r="K168" s="0" t="n">
        <f aca="false">IFERROR(__xludf.dummyfunction("""COMPUTED_VALUE"""),191)</f>
        <v>191</v>
      </c>
    </row>
    <row r="169" customFormat="false" ht="15.75" hidden="false" customHeight="false" outlineLevel="0" collapsed="false">
      <c r="E169" s="12"/>
      <c r="F169" s="1" t="n">
        <f aca="false">FALSE()</f>
        <v>0</v>
      </c>
      <c r="G169" s="1" t="n">
        <f aca="false">FALSE()</f>
        <v>0</v>
      </c>
      <c r="H169" s="1" t="n">
        <f aca="false">FALSE()</f>
        <v>0</v>
      </c>
      <c r="I169" s="1" t="n">
        <f aca="false">FALSE()</f>
        <v>0</v>
      </c>
      <c r="J169" s="1" t="n">
        <f aca="false">FALSE()</f>
        <v>0</v>
      </c>
      <c r="K169" s="0" t="n">
        <f aca="false">IFERROR(__xludf.dummyfunction("""COMPUTED_VALUE"""),192)</f>
        <v>192</v>
      </c>
    </row>
    <row r="170" customFormat="false" ht="15.75" hidden="false" customHeight="false" outlineLevel="0" collapsed="false">
      <c r="E170" s="12"/>
      <c r="F170" s="1" t="n">
        <f aca="false">FALSE()</f>
        <v>0</v>
      </c>
      <c r="G170" s="1" t="n">
        <f aca="false">FALSE()</f>
        <v>0</v>
      </c>
      <c r="H170" s="1" t="n">
        <f aca="false">FALSE()</f>
        <v>0</v>
      </c>
      <c r="I170" s="1" t="n">
        <f aca="false">FALSE()</f>
        <v>0</v>
      </c>
      <c r="J170" s="1" t="n">
        <f aca="false">FALSE()</f>
        <v>0</v>
      </c>
      <c r="K170" s="0" t="n">
        <f aca="false">IFERROR(__xludf.dummyfunction("""COMPUTED_VALUE"""),193)</f>
        <v>193</v>
      </c>
    </row>
    <row r="171" customFormat="false" ht="15.75" hidden="false" customHeight="false" outlineLevel="0" collapsed="false">
      <c r="E171" s="12"/>
      <c r="F171" s="1" t="n">
        <f aca="false">FALSE()</f>
        <v>0</v>
      </c>
      <c r="G171" s="1" t="n">
        <f aca="false">FALSE()</f>
        <v>0</v>
      </c>
      <c r="H171" s="1" t="n">
        <f aca="false">FALSE()</f>
        <v>0</v>
      </c>
      <c r="I171" s="1" t="n">
        <f aca="false">FALSE()</f>
        <v>0</v>
      </c>
      <c r="J171" s="1" t="n">
        <f aca="false">FALSE()</f>
        <v>0</v>
      </c>
      <c r="K171" s="0" t="n">
        <f aca="false">IFERROR(__xludf.dummyfunction("""COMPUTED_VALUE"""),194)</f>
        <v>194</v>
      </c>
    </row>
    <row r="172" customFormat="false" ht="15.75" hidden="false" customHeight="false" outlineLevel="0" collapsed="false">
      <c r="E172" s="12"/>
      <c r="F172" s="1" t="n">
        <f aca="false">FALSE()</f>
        <v>0</v>
      </c>
      <c r="G172" s="1" t="n">
        <f aca="false">FALSE()</f>
        <v>0</v>
      </c>
      <c r="H172" s="1" t="n">
        <f aca="false">FALSE()</f>
        <v>0</v>
      </c>
      <c r="I172" s="1" t="n">
        <f aca="false">FALSE()</f>
        <v>0</v>
      </c>
      <c r="J172" s="1" t="n">
        <f aca="false">FALSE()</f>
        <v>0</v>
      </c>
      <c r="K172" s="0" t="n">
        <f aca="false">IFERROR(__xludf.dummyfunction("""COMPUTED_VALUE"""),195)</f>
        <v>195</v>
      </c>
    </row>
    <row r="173" customFormat="false" ht="15.75" hidden="false" customHeight="false" outlineLevel="0" collapsed="false">
      <c r="E173" s="12"/>
      <c r="F173" s="1" t="n">
        <f aca="false">FALSE()</f>
        <v>0</v>
      </c>
      <c r="G173" s="1" t="n">
        <f aca="false">FALSE()</f>
        <v>0</v>
      </c>
      <c r="H173" s="1" t="n">
        <f aca="false">FALSE()</f>
        <v>0</v>
      </c>
      <c r="I173" s="1" t="n">
        <f aca="false">FALSE()</f>
        <v>0</v>
      </c>
      <c r="J173" s="1" t="n">
        <f aca="false">FALSE()</f>
        <v>0</v>
      </c>
      <c r="K173" s="0" t="n">
        <f aca="false">IFERROR(__xludf.dummyfunction("""COMPUTED_VALUE"""),196)</f>
        <v>196</v>
      </c>
    </row>
    <row r="174" customFormat="false" ht="15.75" hidden="false" customHeight="false" outlineLevel="0" collapsed="false">
      <c r="E174" s="12"/>
      <c r="F174" s="1" t="n">
        <f aca="false">FALSE()</f>
        <v>0</v>
      </c>
      <c r="G174" s="1" t="n">
        <f aca="false">FALSE()</f>
        <v>0</v>
      </c>
      <c r="H174" s="1" t="n">
        <f aca="false">FALSE()</f>
        <v>0</v>
      </c>
      <c r="I174" s="1" t="n">
        <f aca="false">FALSE()</f>
        <v>0</v>
      </c>
      <c r="J174" s="1" t="n">
        <f aca="false">FALSE()</f>
        <v>0</v>
      </c>
      <c r="K174" s="0" t="n">
        <f aca="false">IFERROR(__xludf.dummyfunction("""COMPUTED_VALUE"""),197)</f>
        <v>197</v>
      </c>
    </row>
    <row r="175" customFormat="false" ht="15.75" hidden="false" customHeight="false" outlineLevel="0" collapsed="false">
      <c r="E175" s="12"/>
      <c r="F175" s="1" t="n">
        <f aca="false">FALSE()</f>
        <v>0</v>
      </c>
      <c r="G175" s="1" t="n">
        <f aca="false">FALSE()</f>
        <v>0</v>
      </c>
      <c r="H175" s="1" t="n">
        <f aca="false">FALSE()</f>
        <v>0</v>
      </c>
      <c r="I175" s="1" t="n">
        <f aca="false">FALSE()</f>
        <v>0</v>
      </c>
      <c r="J175" s="1" t="n">
        <f aca="false">FALSE()</f>
        <v>0</v>
      </c>
      <c r="K175" s="0" t="n">
        <f aca="false">IFERROR(__xludf.dummyfunction("""COMPUTED_VALUE"""),198)</f>
        <v>198</v>
      </c>
    </row>
    <row r="176" customFormat="false" ht="15.75" hidden="false" customHeight="false" outlineLevel="0" collapsed="false">
      <c r="E176" s="12"/>
      <c r="F176" s="7"/>
      <c r="G176" s="7"/>
      <c r="H176" s="7"/>
      <c r="I176" s="7"/>
      <c r="J176" s="7"/>
      <c r="K176" s="0" t="n">
        <f aca="false">IFERROR(__xludf.dummyfunction("""COMPUTED_VALUE"""),199)</f>
        <v>199</v>
      </c>
    </row>
    <row r="177" customFormat="false" ht="15.75" hidden="false" customHeight="false" outlineLevel="0" collapsed="false">
      <c r="E177" s="12"/>
      <c r="K177" s="0" t="n">
        <f aca="false">IFERROR(__xludf.dummyfunction("""COMPUTED_VALUE"""),200)</f>
        <v>200</v>
      </c>
    </row>
    <row r="178" customFormat="false" ht="15.75" hidden="false" customHeight="true" outlineLevel="0" collapsed="false">
      <c r="E178" s="12"/>
    </row>
    <row r="179" customFormat="false" ht="15.75" hidden="false" customHeight="true" outlineLevel="0" collapsed="false">
      <c r="E179" s="12"/>
    </row>
    <row r="180" customFormat="false" ht="15.75" hidden="false" customHeight="true" outlineLevel="0" collapsed="false">
      <c r="E180" s="12"/>
    </row>
    <row r="181" customFormat="false" ht="15.75" hidden="false" customHeight="true" outlineLevel="0" collapsed="false">
      <c r="E181" s="12"/>
    </row>
    <row r="182" customFormat="false" ht="15.75" hidden="false" customHeight="true" outlineLevel="0" collapsed="false">
      <c r="E182" s="12"/>
    </row>
    <row r="183" customFormat="false" ht="15.75" hidden="false" customHeight="true" outlineLevel="0" collapsed="false">
      <c r="E183" s="12"/>
    </row>
    <row r="184" customFormat="false" ht="15.75" hidden="false" customHeight="true" outlineLevel="0" collapsed="false">
      <c r="E184" s="12"/>
    </row>
    <row r="185" customFormat="false" ht="15.75" hidden="false" customHeight="true" outlineLevel="0" collapsed="false">
      <c r="E185" s="12"/>
    </row>
    <row r="186" customFormat="false" ht="15.75" hidden="false" customHeight="true" outlineLevel="0" collapsed="false">
      <c r="E186" s="12"/>
    </row>
    <row r="187" customFormat="false" ht="15.75" hidden="false" customHeight="true" outlineLevel="0" collapsed="false">
      <c r="E187" s="12"/>
    </row>
    <row r="188" customFormat="false" ht="15.75" hidden="false" customHeight="true" outlineLevel="0" collapsed="false">
      <c r="E188" s="12"/>
    </row>
    <row r="189" customFormat="false" ht="15.75" hidden="false" customHeight="true" outlineLevel="0" collapsed="false">
      <c r="E189" s="12"/>
    </row>
    <row r="190" customFormat="false" ht="15.75" hidden="false" customHeight="true" outlineLevel="0" collapsed="false">
      <c r="E190" s="12"/>
    </row>
    <row r="191" customFormat="false" ht="15.75" hidden="false" customHeight="true" outlineLevel="0" collapsed="false">
      <c r="E191" s="12"/>
    </row>
    <row r="192" customFormat="false" ht="15.75" hidden="false" customHeight="true" outlineLevel="0" collapsed="false">
      <c r="E192" s="12"/>
    </row>
    <row r="193" customFormat="false" ht="15.75" hidden="false" customHeight="true" outlineLevel="0" collapsed="false">
      <c r="E193" s="12"/>
    </row>
    <row r="194" customFormat="false" ht="15.75" hidden="false" customHeight="true" outlineLevel="0" collapsed="false">
      <c r="E194" s="12"/>
    </row>
    <row r="195" customFormat="false" ht="15.75" hidden="false" customHeight="true" outlineLevel="0" collapsed="false">
      <c r="E195" s="12"/>
    </row>
    <row r="196" customFormat="false" ht="15.75" hidden="false" customHeight="true" outlineLevel="0" collapsed="false">
      <c r="E196" s="12"/>
    </row>
    <row r="197" customFormat="false" ht="15.75" hidden="false" customHeight="true" outlineLevel="0" collapsed="false">
      <c r="E197" s="12"/>
    </row>
    <row r="198" customFormat="false" ht="15.75" hidden="false" customHeight="true" outlineLevel="0" collapsed="false">
      <c r="E198" s="12"/>
    </row>
    <row r="199" customFormat="false" ht="15.75" hidden="false" customHeight="true" outlineLevel="0" collapsed="false">
      <c r="E199" s="12"/>
    </row>
    <row r="200" customFormat="false" ht="15.75" hidden="false" customHeight="true" outlineLevel="0" collapsed="false">
      <c r="E200" s="12"/>
    </row>
    <row r="201" customFormat="false" ht="15.75" hidden="false" customHeight="false" outlineLevel="0" collapsed="false">
      <c r="C201" s="1" t="s">
        <v>789</v>
      </c>
      <c r="F201" s="0" t="n">
        <f aca="false">COUNTIF(F2:F175,TRUE())</f>
        <v>103</v>
      </c>
      <c r="G201" s="0" t="n">
        <f aca="false">COUNTIF(G2:G175,TRUE())</f>
        <v>84</v>
      </c>
      <c r="H201" s="0" t="n">
        <f aca="false">COUNTIF(H2:H175,TRUE())</f>
        <v>69</v>
      </c>
      <c r="I201" s="0" t="n">
        <f aca="false">COUNTIF(I2:I175,TRUE())</f>
        <v>62</v>
      </c>
      <c r="J201" s="0" t="n">
        <f aca="false">COUNTIF(J2:J175,TRUE())</f>
        <v>63</v>
      </c>
    </row>
    <row r="202" customFormat="false" ht="15.75" hidden="false" customHeight="false" outlineLevel="0" collapsed="false">
      <c r="C202" s="1" t="s">
        <v>790</v>
      </c>
      <c r="F202" s="0" t="n">
        <f aca="false">COUNTA($A$2:$A$200)-F201</f>
        <v>49</v>
      </c>
      <c r="G202" s="0" t="n">
        <f aca="false">COUNTA($A$2:$A$200)-G201</f>
        <v>68</v>
      </c>
      <c r="H202" s="0" t="n">
        <f aca="false">COUNTA($A$2:$A$200)-H201</f>
        <v>83</v>
      </c>
      <c r="I202" s="0" t="n">
        <f aca="false">COUNTA($A$2:$A$200)-I201</f>
        <v>90</v>
      </c>
      <c r="J202" s="0" t="n">
        <f aca="false">COUNTA($A$2:$A$200)-J201</f>
        <v>89</v>
      </c>
    </row>
    <row r="204" customFormat="false" ht="15.75" hidden="false" customHeight="false" outlineLevel="0" collapsed="false">
      <c r="C204" s="1" t="s">
        <v>791</v>
      </c>
      <c r="F204" s="0" t="n">
        <f aca="false">IFERROR(__xludf.dummyfunction("COUNTIF(filter(F2:F175,$D$2:$D$175=117),TRUE)"),47)</f>
        <v>47</v>
      </c>
      <c r="G204" s="0" t="n">
        <f aca="false">IFERROR(__xludf.dummyfunction("COUNTIF(filter(G2:G175,$D$2:$D$175=117),TRUE)"),35)</f>
        <v>35</v>
      </c>
      <c r="H204" s="0" t="n">
        <f aca="false">IFERROR(__xludf.dummyfunction("COUNTIF(filter(H2:H175,$D$2:$D$175=117),TRUE)"),30)</f>
        <v>30</v>
      </c>
      <c r="I204" s="0" t="n">
        <f aca="false">IFERROR(__xludf.dummyfunction("COUNTIF(filter(I2:I175,$D$2:$D$175=117),TRUE)"),24)</f>
        <v>24</v>
      </c>
      <c r="J204" s="0" t="n">
        <f aca="false">IFERROR(__xludf.dummyfunction("COUNTIF(filter(J2:J175,$D$2:$D$175=117),TRUE)"),28)</f>
        <v>28</v>
      </c>
    </row>
    <row r="205" customFormat="false" ht="15.75" hidden="false" customHeight="false" outlineLevel="0" collapsed="false">
      <c r="C205" s="1" t="s">
        <v>792</v>
      </c>
      <c r="F205" s="0" t="n">
        <f aca="false">IFERROR(__xludf.dummyfunction("COUNTA(filter(A2:A175,$D$2:$D$175=117))-F204"),27)</f>
        <v>27</v>
      </c>
      <c r="G205" s="0" t="n">
        <f aca="false">IFERROR(__xludf.dummyfunction("COUNTA(filter(B2:B175,$D$2:$D$175=117))-G204"),39)</f>
        <v>39</v>
      </c>
      <c r="H205" s="0" t="n">
        <f aca="false">IFERROR(__xludf.dummyfunction("COUNTA(filter(C2:C175,$D$2:$D$175=117))-H204"),44)</f>
        <v>44</v>
      </c>
      <c r="I205" s="0" t="n">
        <f aca="false">IFERROR(__xludf.dummyfunction("COUNTA(filter(D2:D175,$D$2:$D$175=117))-I204"),50)</f>
        <v>50</v>
      </c>
      <c r="J205" s="0" t="n">
        <f aca="false">IFERROR(__xludf.dummyfunction("COUNTA(filter(E2:E175,$D$2:$D$175=117))-J204"),46)</f>
        <v>46</v>
      </c>
    </row>
  </sheetData>
  <conditionalFormatting sqref="M19">
    <cfRule type="cellIs" priority="2" operator="equal" aboveAverage="0" equalAverage="0" bottom="0" percent="0" rank="0" text="" dxfId="1">
      <formula>"Загружено"</formula>
    </cfRule>
  </conditionalFormatting>
  <conditionalFormatting sqref="M19">
    <cfRule type="cellIs" priority="3" operator="equal" aboveAverage="0" equalAverage="0" bottom="0" percent="0" rank="0" text="" dxfId="11">
      <formula>"Не загружено"</formula>
    </cfRule>
  </conditionalFormatting>
  <conditionalFormatting sqref="M19">
    <cfRule type="cellIs" priority="4" operator="equal" aboveAverage="0" equalAverage="0" bottom="0" percent="0" rank="0" text="" dxfId="0">
      <formula>"Пиздец"</formula>
    </cfRule>
  </conditionalFormatting>
  <conditionalFormatting sqref="E2:E200">
    <cfRule type="cellIs" priority="5" operator="equal" aboveAverage="0" equalAverage="0" bottom="0" percent="0" rank="0" text="" dxfId="4">
      <formula>"Анализ данных в биологии и IT"</formula>
    </cfRule>
  </conditionalFormatting>
  <conditionalFormatting sqref="E2:E200">
    <cfRule type="cellIs" priority="6" operator="equal" aboveAverage="0" equalAverage="0" bottom="0" percent="0" rank="0" text="" dxfId="5">
      <formula>"Введение в психосоматику"</formula>
    </cfRule>
  </conditionalFormatting>
  <conditionalFormatting sqref="E2:E200">
    <cfRule type="cellIs" priority="7" operator="equal" aboveAverage="0" equalAverage="0" bottom="0" percent="0" rank="0" text="" dxfId="1">
      <formula>"Введение в современный политический анализ"</formula>
    </cfRule>
  </conditionalFormatting>
  <conditionalFormatting sqref="E2:E200">
    <cfRule type="cellIs" priority="8" operator="equal" aboveAverage="0" equalAverage="0" bottom="0" percent="0" rank="0" text="" dxfId="6">
      <formula>"Логистика акции по раздельному сбору отходов"</formula>
    </cfRule>
  </conditionalFormatting>
  <conditionalFormatting sqref="E2:E200">
    <cfRule type="cellIs" priority="9" operator="equal" aboveAverage="0" equalAverage="0" bottom="0" percent="0" rank="0" text="" dxfId="7">
      <formula>"Маркетинг"</formula>
    </cfRule>
  </conditionalFormatting>
  <conditionalFormatting sqref="E2:E200">
    <cfRule type="cellIs" priority="10" operator="equal" aboveAverage="0" equalAverage="0" bottom="0" percent="0" rank="0" text="" dxfId="8">
      <formula>"НЕсочинение: как написать текст, который прочтут до конца"</formula>
    </cfRule>
  </conditionalFormatting>
  <conditionalFormatting sqref="E2:E200">
    <cfRule type="cellIs" priority="11" operator="equal" aboveAverage="0" equalAverage="0" bottom="0" percent="0" rank="0" text="" dxfId="9">
      <formula>"Турнирная химия"</formula>
    </cfRule>
  </conditionalFormatting>
  <conditionalFormatting sqref="E2:E200">
    <cfRule type="cellIs" priority="12" operator="equal" aboveAverage="0" equalAverage="0" bottom="0" percent="0" rank="0" text="" dxfId="10">
      <formula>"Физика. Лабораторный практикум"</formula>
    </cfRule>
  </conditionalFormatting>
  <conditionalFormatting sqref="E2:E200">
    <cfRule type="cellIs" priority="13" operator="equal" aboveAverage="0" equalAverage="0" bottom="0" percent="0" rank="0" text="" dxfId="12">
      <formula>"R: работа со структурой данных"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49.29"/>
    <col collapsed="false" customWidth="true" hidden="false" outlineLevel="0" max="6" min="6" style="0" width="21.14"/>
    <col collapsed="false" customWidth="true" hidden="false" outlineLevel="0" max="11" min="11" style="0" width="5.57"/>
    <col collapsed="false" customWidth="true" hidden="false" outlineLevel="0" max="13" min="12" style="0" width="5.43"/>
    <col collapsed="false" customWidth="true" hidden="false" outlineLevel="0" max="14" min="14" style="0" width="11.43"/>
    <col collapsed="false" customWidth="true" hidden="false" outlineLevel="0" max="15" min="15" style="0" width="10.99"/>
    <col collapsed="false" customWidth="true" hidden="false" outlineLevel="0" max="16" min="16" style="0" width="26.71"/>
  </cols>
  <sheetData>
    <row r="1" customFormat="false" ht="15.75" hidden="false" customHeight="false" outlineLevel="0" collapsed="false">
      <c r="A1" s="5" t="s">
        <v>793</v>
      </c>
      <c r="B1" s="1" t="s">
        <v>794</v>
      </c>
      <c r="C1" s="1" t="s">
        <v>795</v>
      </c>
      <c r="D1" s="1" t="s">
        <v>796</v>
      </c>
    </row>
    <row r="2" customFormat="false" ht="15.75" hidden="false" customHeight="false" outlineLevel="0" collapsed="false">
      <c r="A2" s="35" t="s">
        <v>82</v>
      </c>
      <c r="B2" s="7" t="n">
        <f aca="false">IFERROR(__xludf.dummyfunction("COUNTIF(FILTER('Переформатированный ответ'!$I$2:$I$200,('Переформатированный ответ'!$O$2:$O$200 &gt;-1)), A2)"),21)</f>
        <v>21</v>
      </c>
      <c r="C2" s="1" t="n">
        <v>20</v>
      </c>
      <c r="D2" s="12" t="str">
        <f aca="false">IF(B2 &lt;= C2, "Все норм", IF(B2 &lt;= C2*1.3, "Почти писос!", "Писос!"))</f>
        <v>Почти писос!</v>
      </c>
      <c r="H2" s="5"/>
    </row>
    <row r="3" customFormat="false" ht="15.75" hidden="false" customHeight="false" outlineLevel="0" collapsed="false">
      <c r="A3" s="36" t="s">
        <v>63</v>
      </c>
      <c r="B3" s="7" t="n">
        <f aca="false">IFERROR(__xludf.dummyfunction("COUNTIF(FILTER('Переформатированный ответ'!$I$2:$I$200,('Переформатированный ответ'!$O$2:$O$200 &gt;-1)), A3)"),25)</f>
        <v>25</v>
      </c>
      <c r="C3" s="1" t="n">
        <v>25</v>
      </c>
      <c r="D3" s="12" t="str">
        <f aca="false">IF(B3 &lt;= C3, "Все норм", IF(B3 &lt;= C3*1.3, "Почти писос!", "Писос!"))</f>
        <v>Все норм</v>
      </c>
    </row>
    <row r="4" customFormat="false" ht="15.75" hidden="false" customHeight="false" outlineLevel="0" collapsed="false">
      <c r="A4" s="1" t="s">
        <v>302</v>
      </c>
      <c r="B4" s="7" t="n">
        <f aca="false">IFERROR(__xludf.dummyfunction("COUNTIF(FILTER('Переформатированный ответ'!$I$2:$I$200,('Переформатированный ответ'!$O$2:$O$200 &gt;-1)), A4)"),9)</f>
        <v>9</v>
      </c>
      <c r="C4" s="1" t="n">
        <v>10</v>
      </c>
      <c r="D4" s="12" t="str">
        <f aca="false">IF(B4 &lt;= C4, "Все норм", IF(B4 &lt;= C4*1.3, "Почти писос!", "Писос!"))</f>
        <v>Все норм</v>
      </c>
    </row>
    <row r="5" customFormat="false" ht="15.75" hidden="false" customHeight="false" outlineLevel="0" collapsed="false">
      <c r="A5" s="35" t="s">
        <v>25</v>
      </c>
      <c r="B5" s="7" t="n">
        <f aca="false">IFERROR(__xludf.dummyfunction("COUNTIF(FILTER('Переформатированный ответ'!$I$2:$I$200,('Переформатированный ответ'!$O$2:$O$200 &gt;-1)), A5)"),26)</f>
        <v>26</v>
      </c>
      <c r="C5" s="1" t="n">
        <v>20</v>
      </c>
      <c r="D5" s="12" t="str">
        <f aca="false">IF(B5 &lt;= C5, "Все норм", IF(B5 &lt;= C5*1.3, "Почти писос!", "Писос!"))</f>
        <v>Почти писос!</v>
      </c>
      <c r="F5" s="34" t="s">
        <v>797</v>
      </c>
    </row>
    <row r="6" customFormat="false" ht="15.75" hidden="false" customHeight="false" outlineLevel="0" collapsed="false">
      <c r="A6" s="35" t="s">
        <v>41</v>
      </c>
      <c r="B6" s="7" t="n">
        <f aca="false">IFERROR(__xludf.dummyfunction("COUNTIF(FILTER('Переформатированный ответ'!$I$2:$I$200,('Переформатированный ответ'!$O$2:$O$200 &gt;-1)), A6)"),22)</f>
        <v>22</v>
      </c>
      <c r="C6" s="1" t="n">
        <v>30</v>
      </c>
      <c r="D6" s="12" t="str">
        <f aca="false">IF(B6 &lt;= C6, "Все норм", IF(B6 &lt;= C6*1.3, "Почти писос!", "Писос!"))</f>
        <v>Все норм</v>
      </c>
      <c r="F6" s="37" t="n">
        <f aca="false">COUNTA('Переформатированный ответ'!$A$2:$A$200)</f>
        <v>191</v>
      </c>
    </row>
    <row r="7" customFormat="false" ht="15.75" hidden="false" customHeight="false" outlineLevel="0" collapsed="false">
      <c r="A7" s="35" t="s">
        <v>17</v>
      </c>
      <c r="B7" s="7" t="n">
        <f aca="false">IFERROR(__xludf.dummyfunction("COUNTIF(FILTER('Переформатированный ответ'!$I$2:$I$200,('Переформатированный ответ'!$O$2:$O$200 &gt;-1)), A7)"),21)</f>
        <v>21</v>
      </c>
      <c r="C7" s="1" t="n">
        <v>30</v>
      </c>
      <c r="D7" s="12" t="str">
        <f aca="false">IF(B7 &lt;= C7, "Все норм", IF(B7 &lt;= C7*1.3, "Почти писос!", "Писос!"))</f>
        <v>Все норм</v>
      </c>
      <c r="F7" s="37"/>
    </row>
    <row r="8" customFormat="false" ht="15.75" hidden="false" customHeight="false" outlineLevel="0" collapsed="false">
      <c r="A8" s="35" t="s">
        <v>146</v>
      </c>
      <c r="B8" s="7" t="n">
        <f aca="false">IFERROR(__xludf.dummyfunction("COUNTIF(FILTER('Переформатированный ответ'!$I$2:$I$200,('Переформатированный ответ'!$O$2:$O$200 &gt;-1)), A8)"),14)</f>
        <v>14</v>
      </c>
      <c r="C8" s="1" t="n">
        <v>15</v>
      </c>
      <c r="D8" s="12" t="str">
        <f aca="false">IF(B8 &lt;= C8, "Все норм", IF(B8 &lt;= C8*1.3, "Почти писос!", "Писос!"))</f>
        <v>Все норм</v>
      </c>
      <c r="E8" s="1"/>
      <c r="F8" s="37"/>
    </row>
    <row r="9" customFormat="false" ht="15.75" hidden="false" customHeight="false" outlineLevel="0" collapsed="false">
      <c r="A9" s="38" t="s">
        <v>152</v>
      </c>
      <c r="B9" s="7" t="n">
        <f aca="false">IFERROR(__xludf.dummyfunction("COUNTIF(FILTER('Переформатированный ответ'!$I$2:$I$200,('Переформатированный ответ'!$O$2:$O$200 &gt;-1)), A9)"),15)</f>
        <v>15</v>
      </c>
      <c r="C9" s="1" t="n">
        <v>15</v>
      </c>
      <c r="D9" s="12" t="str">
        <f aca="false">IF(B9 &lt;= C9, "Все норм", IF(B9 &lt;= C9*1.3, "Почти писос!", "Писос!"))</f>
        <v>Все норм</v>
      </c>
      <c r="F9" s="37"/>
    </row>
    <row r="10" customFormat="false" ht="15.75" hidden="false" customHeight="false" outlineLevel="0" collapsed="false">
      <c r="B10" s="7"/>
      <c r="D10" s="12"/>
    </row>
    <row r="11" customFormat="false" ht="15.75" hidden="false" customHeight="false" outlineLevel="0" collapsed="false">
      <c r="A11" s="1" t="s">
        <v>20</v>
      </c>
      <c r="B11" s="7" t="n">
        <f aca="false">IFERROR(__xludf.dummyfunction("COUNTIF(FILTER('Переформатированный ответ'!$I$2:$I$200,('Переформатированный ответ'!$O$2:$O$200 &gt;-1)), A11)"),13)</f>
        <v>13</v>
      </c>
      <c r="D11" s="12"/>
    </row>
    <row r="12" customFormat="false" ht="15.75" hidden="false" customHeight="false" outlineLevel="0" collapsed="false">
      <c r="B12" s="0" t="n">
        <f aca="false">SUM(B2:B10)</f>
        <v>153</v>
      </c>
      <c r="C12" s="1"/>
    </row>
    <row r="13" customFormat="false" ht="15.75" hidden="false" customHeight="false" outlineLevel="0" collapsed="false">
      <c r="A13" s="5" t="s">
        <v>798</v>
      </c>
    </row>
    <row r="14" customFormat="false" ht="15.75" hidden="false" customHeight="false" outlineLevel="0" collapsed="false">
      <c r="A14" s="38" t="s">
        <v>320</v>
      </c>
      <c r="B14" s="7" t="n">
        <f aca="false">IFERROR(__xludf.dummyfunction("COUNTIF(FILTER('Переформатированный ответ'!$J$2:$J$200,('Переформатированный ответ'!$O$2:$O$200 &gt;-1)), A14)"),1)</f>
        <v>1</v>
      </c>
      <c r="C14" s="1" t="n">
        <v>10</v>
      </c>
      <c r="D14" s="12" t="str">
        <f aca="false">IF(B14 &lt;= C14, "Все норм", IF(B14 &lt;= C14*1.3, "Почти писос!", "Писос!"))</f>
        <v>Все норм</v>
      </c>
    </row>
    <row r="15" customFormat="false" ht="15.75" hidden="false" customHeight="false" outlineLevel="0" collapsed="false">
      <c r="A15" s="35" t="s">
        <v>34</v>
      </c>
      <c r="B15" s="7" t="n">
        <f aca="false">IFERROR(__xludf.dummyfunction("COUNTIF(FILTER('Переформатированный ответ'!$J$2:$J$200,('Переформатированный ответ'!$O$2:$O$200 &gt;-1)), A15)"),17)</f>
        <v>17</v>
      </c>
      <c r="C15" s="1" t="n">
        <v>15</v>
      </c>
      <c r="D15" s="12" t="str">
        <f aca="false">IF(B15 &lt;= C15, "Все норм", IF(B15 &lt;= C15*1.3, "Почти писос!", "Писос!"))</f>
        <v>Почти писос!</v>
      </c>
      <c r="F15" s="5" t="s">
        <v>799</v>
      </c>
    </row>
    <row r="16" customFormat="false" ht="15.75" hidden="false" customHeight="false" outlineLevel="0" collapsed="false">
      <c r="A16" s="35" t="s">
        <v>98</v>
      </c>
      <c r="B16" s="7" t="n">
        <f aca="false">IFERROR(__xludf.dummyfunction("COUNTIF(FILTER('Переформатированный ответ'!$J$2:$J$200,('Переформатированный ответ'!$O$2:$O$200 &gt;-1)), A16)"),25)</f>
        <v>25</v>
      </c>
      <c r="C16" s="1" t="n">
        <v>20</v>
      </c>
      <c r="D16" s="12" t="str">
        <f aca="false">IF(B16 &lt;= C16, "Все норм", IF(B16 &lt;= C16*1.3, "Почти писос!", "Писос!"))</f>
        <v>Почти писос!</v>
      </c>
      <c r="F16" s="12" t="e">
        <f aca="false">IF(MAX('Переформатированный ответ'!$A$2:$A$192)=MAX(Parse!$A$2:$A$416),"Обновлена","Не обновлена")</f>
        <v>#REF!</v>
      </c>
    </row>
    <row r="17" customFormat="false" ht="15.75" hidden="false" customHeight="false" outlineLevel="0" collapsed="false">
      <c r="A17" s="38" t="s">
        <v>64</v>
      </c>
      <c r="B17" s="7" t="n">
        <f aca="false">IFERROR(__xludf.dummyfunction("COUNTIF(FILTER('Переформатированный ответ'!$J$2:$J$200,('Переформатированный ответ'!$O$2:$O$200 &gt;-1)), A17)"),14)</f>
        <v>14</v>
      </c>
      <c r="C17" s="1" t="n">
        <v>15</v>
      </c>
      <c r="D17" s="12" t="str">
        <f aca="false">IF(B17 &lt;= C17, "Все норм", IF(B17 &lt;= C17*1.3, "Почти писос!", "Писос!"))</f>
        <v>Все норм</v>
      </c>
      <c r="F17" s="39" t="e">
        <f aca="false">IF(F16 = "Обновлена","","Отставание:")</f>
        <v>#REF!</v>
      </c>
    </row>
    <row r="18" customFormat="false" ht="15.75" hidden="false" customHeight="false" outlineLevel="0" collapsed="false">
      <c r="A18" s="35" t="s">
        <v>18</v>
      </c>
      <c r="B18" s="7" t="n">
        <f aca="false">IFERROR(__xludf.dummyfunction("COUNTIF(FILTER('Переформатированный ответ'!$J$2:$J$200,('Переформатированный ответ'!$O$2:$O$200 &gt;-1)), A18)"),17)</f>
        <v>17</v>
      </c>
      <c r="C18" s="1" t="n">
        <v>20</v>
      </c>
      <c r="D18" s="12" t="str">
        <f aca="false">IF(B18 &lt;= C18, "Все норм", IF(B18 &lt;= C18*1.3, "Почти писос!", "Писос!"))</f>
        <v>Все норм</v>
      </c>
      <c r="F18" s="40" t="e">
        <f aca="false">IF(F16 = "Обновлена","",MAX(Parse!$A$200:$A$608)-MAX('Переформатированный ответ'!$A$2:$A$150))</f>
        <v>#REF!</v>
      </c>
    </row>
    <row r="19" customFormat="false" ht="15.75" hidden="false" customHeight="false" outlineLevel="0" collapsed="false">
      <c r="A19" s="36" t="s">
        <v>130</v>
      </c>
      <c r="B19" s="7" t="n">
        <f aca="false">IFERROR(__xludf.dummyfunction("COUNTIF(FILTER('Переформатированный ответ'!$J$2:$J$200,('Переформатированный ответ'!$O$2:$O$200 &gt;-1)), A19)"),22)</f>
        <v>22</v>
      </c>
      <c r="C19" s="1" t="n">
        <v>30</v>
      </c>
      <c r="D19" s="12" t="str">
        <f aca="false">IF(B19 &lt;= C19, "Все норм", IF(B19 &lt;= C19*1.3, "Почти писос!", "Писос!"))</f>
        <v>Все норм</v>
      </c>
      <c r="F19" s="39" t="e">
        <f aca="false">IF(F16 = "Обновлена","","Неучтённые дети:")</f>
        <v>#REF!</v>
      </c>
    </row>
    <row r="20" customFormat="false" ht="15.75" hidden="false" customHeight="false" outlineLevel="0" collapsed="false">
      <c r="A20" s="36" t="s">
        <v>48</v>
      </c>
      <c r="B20" s="7" t="n">
        <f aca="false">IFERROR(__xludf.dummyfunction("COUNTIF(FILTER('Переформатированный ответ'!$J$2:$J$200,('Переформатированный ответ'!$O$2:$O$200 &gt;-1)), A20)"),9)</f>
        <v>9</v>
      </c>
      <c r="C20" s="1" t="n">
        <v>30</v>
      </c>
      <c r="D20" s="12" t="str">
        <f aca="false">IF(B20 &lt;= C20, "Все норм", IF(B20 &lt;= C20*1.3, "Почти писос!", "Писос!"))</f>
        <v>Все норм</v>
      </c>
      <c r="F20" s="0" t="e">
        <f aca="false">IF(F16 = "Обновлена","",MATCH(MAX(Parse!$A$200:$A$608),Parse!$A$200:$A$608)-MATCH(MAX('Переформатированный ответ'!$A$2:$A$150),Parse!$A$200:$A$608))</f>
        <v>#REF!</v>
      </c>
    </row>
    <row r="21" customFormat="false" ht="15.75" hidden="false" customHeight="false" outlineLevel="0" collapsed="false">
      <c r="A21" s="38" t="s">
        <v>26</v>
      </c>
      <c r="B21" s="7" t="n">
        <f aca="false">IFERROR(__xludf.dummyfunction("COUNTIF(FILTER('Переформатированный ответ'!$J$2:$J$200,('Переформатированный ответ'!$O$2:$O$200 &gt;-1)), A21)"),27)</f>
        <v>27</v>
      </c>
      <c r="C21" s="1" t="n">
        <v>30</v>
      </c>
      <c r="D21" s="12" t="str">
        <f aca="false">IF(B21 &lt;= C21, "Все норм", IF(B21 &lt;= C21*1.3, "Почти писос!", "Писос!"))</f>
        <v>Все норм</v>
      </c>
      <c r="F21" s="5" t="s">
        <v>800</v>
      </c>
    </row>
    <row r="22" customFormat="false" ht="15.75" hidden="false" customHeight="false" outlineLevel="0" collapsed="false">
      <c r="A22" s="36" t="s">
        <v>70</v>
      </c>
      <c r="B22" s="7" t="n">
        <f aca="false">IFERROR(__xludf.dummyfunction("COUNTIF(FILTER('Переформатированный ответ'!$J$2:$J$200,('Переформатированный ответ'!$O$2:$O$200 &gt;-1)), A22)"),24)</f>
        <v>24</v>
      </c>
      <c r="C22" s="1" t="n">
        <v>20</v>
      </c>
      <c r="D22" s="12" t="str">
        <f aca="false">IF(B22 &lt;= C22, "Все норм", IF(B22 &lt;= C22*1.3, "Почти писос!", "Писос!"))</f>
        <v>Почти писос!</v>
      </c>
      <c r="F22" s="0" t="str">
        <f aca="false">IFERROR(__xludf.dummyfunction("if(counta(filter('Переформатированный ответ'!$A$2:$J$200,ARRAYFORMULA(COUNTIF(arrayformula(CONCAT(TRIM('Переформатированный ответ'!$B$2:$B$200),TRIM('Переформатированный ответ'!$C$2:$C$200))),CONCAT(TRIM('Переформатированный ответ'!$B$2:$B$200),TRIM('Пере"&amp;"форматированный ответ'!$C$2:$C$200)))&gt;1))) = 0,""Отсутствуют"",filter('Переформатированный ответ'!$A$2:$N$200,ARRAYFORMULA(COUNTIF(arrayformula(CONCAT(TRIM('Переформатированный ответ'!$B$2:$B$200),TRIM('Переформатированный ответ'!$C$2:$C$200))),CONCAT(TRI"&amp;"M('Переформатированный ответ'!$B$2:$B$200),TRIM('Переформатированный ответ'!$C$2:$C$200)))&gt;1)))"),"Отсутствуют")</f>
        <v>Отсутствуют</v>
      </c>
    </row>
    <row r="23" customFormat="false" ht="15.75" hidden="false" customHeight="false" outlineLevel="0" collapsed="false">
      <c r="A23" s="1" t="s">
        <v>20</v>
      </c>
      <c r="B23" s="7" t="n">
        <f aca="false">IFERROR(__xludf.dummyfunction("COUNTIF(FILTER('Переформатированный ответ'!$J$2:$J$200,('Переформатированный ответ'!$O$2:$O$200 &gt;-1)), A23)"),10)</f>
        <v>10</v>
      </c>
      <c r="D23" s="12"/>
    </row>
    <row r="24" customFormat="false" ht="15.75" hidden="false" customHeight="false" outlineLevel="0" collapsed="false">
      <c r="B24" s="0" t="n">
        <f aca="false">SUM(B14:B22)</f>
        <v>156</v>
      </c>
      <c r="C24" s="1"/>
      <c r="D24" s="12"/>
    </row>
    <row r="25" customFormat="false" ht="15.75" hidden="false" customHeight="false" outlineLevel="0" collapsed="false">
      <c r="A25" s="5" t="s">
        <v>801</v>
      </c>
      <c r="D25" s="12"/>
    </row>
    <row r="26" customFormat="false" ht="15.75" hidden="false" customHeight="false" outlineLevel="0" collapsed="false">
      <c r="A26" s="36" t="s">
        <v>35</v>
      </c>
      <c r="B26" s="7" t="n">
        <f aca="false">IFERROR(__xludf.dummyfunction("COUNTIF(FILTER('Переформатированный ответ'!$K$2:$K$200,('Переформатированный ответ'!$O$2:$O$200 &gt;-1)), A26)"),24)</f>
        <v>24</v>
      </c>
      <c r="C26" s="1" t="n">
        <v>30</v>
      </c>
      <c r="D26" s="12" t="str">
        <f aca="false">IF(B26 &lt;= C26, "Все норм", IF(B26 &lt;= C26*1.3, "Почти писос!", "Писос!"))</f>
        <v>Все норм</v>
      </c>
    </row>
    <row r="27" customFormat="false" ht="15.75" hidden="false" customHeight="false" outlineLevel="0" collapsed="false">
      <c r="A27" s="36" t="s">
        <v>115</v>
      </c>
      <c r="B27" s="7" t="n">
        <f aca="false">IFERROR(__xludf.dummyfunction("COUNTIF(FILTER('Переформатированный ответ'!$K$2:$K$200,('Переформатированный ответ'!$O$2:$O$200 &gt;-1)), A27)"),11)</f>
        <v>11</v>
      </c>
      <c r="C27" s="1" t="n">
        <v>30</v>
      </c>
      <c r="D27" s="12" t="str">
        <f aca="false">IF(B27 &lt;= C27, "Все норм", IF(B27 &lt;= C27*1.3, "Почти писос!", "Писос!"))</f>
        <v>Все норм</v>
      </c>
    </row>
    <row r="28" customFormat="false" ht="15.75" hidden="false" customHeight="false" outlineLevel="0" collapsed="false">
      <c r="A28" s="35" t="s">
        <v>42</v>
      </c>
      <c r="B28" s="7" t="n">
        <f aca="false">IFERROR(__xludf.dummyfunction("COUNTIF(FILTER('Переформатированный ответ'!$K$2:$K$200,('Переформатированный ответ'!$O$2:$O$200 &gt;-1)), A28)"),19)</f>
        <v>19</v>
      </c>
      <c r="C28" s="1" t="n">
        <v>15</v>
      </c>
      <c r="D28" s="12" t="str">
        <f aca="false">IF(B28 &lt;= C28, "Все норм", IF(B28 &lt;= C28*1.3, "Почти писос!", "Писос!"))</f>
        <v>Почти писос!</v>
      </c>
    </row>
    <row r="29" customFormat="false" ht="15.75" hidden="false" customHeight="false" outlineLevel="0" collapsed="false">
      <c r="A29" s="41" t="s">
        <v>725</v>
      </c>
      <c r="B29" s="7" t="n">
        <f aca="false">IFERROR(__xludf.dummyfunction("COUNTIF(FILTER('Переформатированный ответ'!$K$2:$K$200,('Переформатированный ответ'!$O$2:$O$200 &gt;-1)), A29)"),4)</f>
        <v>4</v>
      </c>
      <c r="C29" s="1" t="n">
        <v>10</v>
      </c>
      <c r="D29" s="12" t="str">
        <f aca="false">IF(B29 &lt;= C29, "Все норм", IF(B29 &lt;= C29*1.3, "Почти писос!", "Писос!"))</f>
        <v>Все норм</v>
      </c>
    </row>
    <row r="30" customFormat="false" ht="15.75" hidden="false" customHeight="false" outlineLevel="0" collapsed="false">
      <c r="A30" s="35" t="s">
        <v>57</v>
      </c>
      <c r="B30" s="7" t="n">
        <f aca="false">IFERROR(__xludf.dummyfunction("COUNTIF(FILTER('Переформатированный ответ'!$K$2:$K$200,('Переформатированный ответ'!$O$2:$O$200 &gt;-1)), A30)"),27)</f>
        <v>27</v>
      </c>
      <c r="C30" s="1" t="n">
        <v>24</v>
      </c>
      <c r="D30" s="12" t="str">
        <f aca="false">IF(B30 &lt;= C30, "Все норм", IF(B30 &lt;= C30*1.3, "Почти писос!", "Писос!"))</f>
        <v>Почти писос!</v>
      </c>
    </row>
    <row r="31" customFormat="false" ht="15.75" hidden="false" customHeight="false" outlineLevel="0" collapsed="false">
      <c r="A31" s="42" t="s">
        <v>27</v>
      </c>
      <c r="B31" s="7" t="n">
        <f aca="false">IFERROR(__xludf.dummyfunction("COUNTIF(FILTER('Переформатированный ответ'!$K$2:$K$200,('Переформатированный ответ'!$O$2:$O$200 &gt;-1)), A31)"),23)</f>
        <v>23</v>
      </c>
      <c r="C31" s="1" t="n">
        <v>20</v>
      </c>
      <c r="D31" s="12" t="str">
        <f aca="false">IF(B31 &lt;= C31, "Все норм", IF(B31 &lt;= C31*1.3, "Почти писос!", "Писос!"))</f>
        <v>Почти писос!</v>
      </c>
    </row>
    <row r="32" customFormat="false" ht="15.75" hidden="false" customHeight="false" outlineLevel="0" collapsed="false">
      <c r="A32" s="35" t="s">
        <v>477</v>
      </c>
      <c r="B32" s="7" t="n">
        <f aca="false">IFERROR(__xludf.dummyfunction("COUNTIF(FILTER('Переформатированный ответ'!$K$2:$K$200,('Переформатированный ответ'!$O$2:$O$200 &gt;-1)), A32)"),8)</f>
        <v>8</v>
      </c>
      <c r="C32" s="1" t="n">
        <v>10</v>
      </c>
      <c r="D32" s="12" t="str">
        <f aca="false">IF(B32 &lt;= C32, "Все норм", IF(B32 &lt;= C32*1.3, "Почти писос!", "Писос!"))</f>
        <v>Все норм</v>
      </c>
    </row>
    <row r="33" customFormat="false" ht="15.75" hidden="false" customHeight="false" outlineLevel="0" collapsed="false">
      <c r="A33" s="35" t="s">
        <v>19</v>
      </c>
      <c r="B33" s="7" t="n">
        <f aca="false">IFERROR(__xludf.dummyfunction("COUNTIF(FILTER('Переформатированный ответ'!$K$2:$K$200,('Переформатированный ответ'!$O$2:$O$200 &gt;-1)), A33)"),13)</f>
        <v>13</v>
      </c>
      <c r="C33" s="1" t="n">
        <v>15</v>
      </c>
      <c r="D33" s="12" t="str">
        <f aca="false">IF(B33 &lt;= C33, "Все норм", IF(B33 &lt;= C33*1.3, "Почти писос!", "Писос!"))</f>
        <v>Все норм</v>
      </c>
    </row>
    <row r="34" customFormat="false" ht="15.75" hidden="false" customHeight="false" outlineLevel="0" collapsed="false">
      <c r="A34" s="36" t="s">
        <v>49</v>
      </c>
      <c r="B34" s="7" t="n">
        <f aca="false">IFERROR(__xludf.dummyfunction("COUNTIF(FILTER('Переформатированный ответ'!$K$2:$K$200,('Переформатированный ответ'!$O$2:$O$200 &gt;-1)), A34)"),24)</f>
        <v>24</v>
      </c>
      <c r="C34" s="1" t="n">
        <v>30</v>
      </c>
      <c r="D34" s="12" t="str">
        <f aca="false">IF(B34 &lt;= C34, "Все норм", IF(B34 &lt;= C34*1.3, "Почти писос!", "Писос!"))</f>
        <v>Все норм</v>
      </c>
    </row>
    <row r="35" customFormat="false" ht="15.75" hidden="false" customHeight="false" outlineLevel="0" collapsed="false">
      <c r="A35" s="1" t="s">
        <v>20</v>
      </c>
      <c r="B35" s="7" t="n">
        <f aca="false">IFERROR(__xludf.dummyfunction("COUNTIF(FILTER('Переформатированный ответ'!$K$2:$K$200,('Переформатированный ответ'!$O$2:$O$200 &gt;-1)), A35)"),13)</f>
        <v>13</v>
      </c>
      <c r="D35" s="12"/>
    </row>
    <row r="36" customFormat="false" ht="15.75" hidden="false" customHeight="false" outlineLevel="0" collapsed="false">
      <c r="B36" s="0" t="n">
        <f aca="false">SUM(B26:B34)</f>
        <v>153</v>
      </c>
      <c r="C36" s="1"/>
      <c r="D36" s="12"/>
    </row>
    <row r="37" customFormat="false" ht="15.75" hidden="false" customHeight="false" outlineLevel="0" collapsed="false">
      <c r="A37" s="5" t="s">
        <v>802</v>
      </c>
    </row>
    <row r="38" customFormat="false" ht="15.75" hidden="false" customHeight="false" outlineLevel="0" collapsed="false">
      <c r="A38" s="43" t="s">
        <v>599</v>
      </c>
      <c r="B38" s="7" t="n">
        <f aca="false">IFERROR(__xludf.dummyfunction("COUNTIF(FILTER('Переформатированный ответ'!$L$2:$L$200,('Переформатированный ответ'!$O$2:$O$200 &gt;-1)), A38)"),2)</f>
        <v>2</v>
      </c>
      <c r="C38" s="1" t="n">
        <v>10</v>
      </c>
      <c r="D38" s="12" t="str">
        <f aca="false">IF(B38 &lt;= C38, "Все норм", IF(B38 &lt;= C38*1.3, "Почти писос!", "Писос!"))</f>
        <v>Все норм</v>
      </c>
    </row>
    <row r="39" customFormat="false" ht="15.75" hidden="false" customHeight="false" outlineLevel="0" collapsed="false">
      <c r="A39" s="35" t="s">
        <v>36</v>
      </c>
      <c r="B39" s="7" t="n">
        <f aca="false">IFERROR(__xludf.dummyfunction("COUNTIF(FILTER('Переформатированный ответ'!$L$2:$L$200,('Переформатированный ответ'!$O$2:$O$200 &gt;-1)), A39)"),27)</f>
        <v>27</v>
      </c>
      <c r="C39" s="1" t="n">
        <v>30</v>
      </c>
      <c r="D39" s="12" t="str">
        <f aca="false">IF(B39 &lt;= C39, "Все норм", IF(B39 &lt;= C39*1.3, "Почти писос!", "Писос!"))</f>
        <v>Все норм</v>
      </c>
    </row>
    <row r="40" customFormat="false" ht="15.75" hidden="false" customHeight="false" outlineLevel="0" collapsed="false">
      <c r="A40" s="35" t="s">
        <v>71</v>
      </c>
      <c r="B40" s="7" t="n">
        <f aca="false">IFERROR(__xludf.dummyfunction("COUNTIF(FILTER('Переформатированный ответ'!$L$2:$L$200,('Переформатированный ответ'!$O$2:$O$200 &gt;-1)), A40)"),15)</f>
        <v>15</v>
      </c>
      <c r="C40" s="1" t="n">
        <v>15</v>
      </c>
      <c r="D40" s="12" t="str">
        <f aca="false">IF(B40 &lt;= C40, "Все норм", IF(B40 &lt;= C40*1.3, "Почти писос!", "Писос!"))</f>
        <v>Все норм</v>
      </c>
    </row>
    <row r="41" customFormat="false" ht="15.75" hidden="false" customHeight="false" outlineLevel="0" collapsed="false">
      <c r="A41" s="42" t="s">
        <v>28</v>
      </c>
      <c r="B41" s="7" t="n">
        <f aca="false">IFERROR(__xludf.dummyfunction("COUNTIF(FILTER('Переформатированный ответ'!$L$2:$L$200,('Переформатированный ответ'!$O$2:$O$200 &gt;-1)), A41)"),26)</f>
        <v>26</v>
      </c>
      <c r="C41" s="1" t="n">
        <v>25</v>
      </c>
      <c r="D41" s="12" t="str">
        <f aca="false">IF(B41 &lt;= C41, "Все норм", IF(B41 &lt;= C41*1.3, "Почти писос!", "Писос!"))</f>
        <v>Почти писос!</v>
      </c>
    </row>
    <row r="42" customFormat="false" ht="15.75" hidden="false" customHeight="false" outlineLevel="0" collapsed="false">
      <c r="A42" s="43" t="s">
        <v>120</v>
      </c>
      <c r="B42" s="7" t="n">
        <f aca="false">IFERROR(__xludf.dummyfunction("COUNTIF(FILTER('Переформатированный ответ'!$L$2:$L$200,('Переформатированный ответ'!$O$2:$O$200 &gt;-1)), A42)"),20)</f>
        <v>20</v>
      </c>
      <c r="C42" s="1" t="n">
        <v>20</v>
      </c>
      <c r="D42" s="12" t="str">
        <f aca="false">IF(B42 &lt;= C42, "Все норм", IF(B42 &lt;= C42*1.3, "Почти писос!", "Писос!"))</f>
        <v>Все норм</v>
      </c>
    </row>
    <row r="43" customFormat="false" ht="15.75" hidden="false" customHeight="false" outlineLevel="0" collapsed="false">
      <c r="A43" s="43" t="s">
        <v>50</v>
      </c>
      <c r="B43" s="7" t="n">
        <f aca="false">IFERROR(__xludf.dummyfunction("COUNTIF(FILTER('Переформатированный ответ'!$L$2:$L$200,('Переформатированный ответ'!$O$2:$O$200 &gt;-1)), A43)"),16)</f>
        <v>16</v>
      </c>
      <c r="C43" s="1" t="n">
        <v>30</v>
      </c>
      <c r="D43" s="12" t="str">
        <f aca="false">IF(B43 &lt;= C43, "Все норм", IF(B43 &lt;= C43*1.3, "Почти писос!", "Писос!"))</f>
        <v>Все норм</v>
      </c>
    </row>
    <row r="44" customFormat="false" ht="15.75" hidden="false" customHeight="false" outlineLevel="0" collapsed="false">
      <c r="A44" s="36" t="s">
        <v>99</v>
      </c>
      <c r="B44" s="7" t="n">
        <f aca="false">IFERROR(__xludf.dummyfunction("COUNTIF(FILTER('Переформатированный ответ'!$L$2:$L$200,('Переформатированный ответ'!$O$2:$O$200 &gt;-1)), A44)"),23)</f>
        <v>23</v>
      </c>
      <c r="C44" s="1" t="n">
        <v>25</v>
      </c>
      <c r="D44" s="12" t="str">
        <f aca="false">IF(B44 &lt;= C44, "Все норм", IF(B44 &lt;= C44*1.3, "Почти писос!", "Писос!"))</f>
        <v>Все норм</v>
      </c>
    </row>
    <row r="45" customFormat="false" ht="15.75" hidden="false" customHeight="false" outlineLevel="0" collapsed="false">
      <c r="A45" s="36" t="s">
        <v>43</v>
      </c>
      <c r="B45" s="7" t="n">
        <f aca="false">IFERROR(__xludf.dummyfunction("COUNTIF(FILTER('Переформатированный ответ'!$L$2:$L$200,('Переформатированный ответ'!$O$2:$O$200 &gt;-1)), A45)"),14)</f>
        <v>14</v>
      </c>
      <c r="C45" s="1" t="n">
        <v>30</v>
      </c>
      <c r="D45" s="12" t="str">
        <f aca="false">IF(B45 &lt;= C45, "Все норм", IF(B45 &lt;= C45*1.3, "Почти писос!", "Писос!"))</f>
        <v>Все норм</v>
      </c>
    </row>
    <row r="46" customFormat="false" ht="15.75" hidden="false" customHeight="false" outlineLevel="0" collapsed="false">
      <c r="A46" s="11" t="s">
        <v>88</v>
      </c>
      <c r="B46" s="7" t="n">
        <f aca="false">IFERROR(__xludf.dummyfunction("COUNTIF(FILTER('Переформатированный ответ'!$L$2:$L$200,('Переформатированный ответ'!$O$2:$O$200 &gt;-1)), A46)"),9)</f>
        <v>9</v>
      </c>
      <c r="C46" s="1" t="n">
        <v>10</v>
      </c>
      <c r="D46" s="12" t="str">
        <f aca="false">IF(B46 &lt;= C46, "Все норм", IF(B46 &lt;= C46*1.3, "Почти писос!", "Писос!"))</f>
        <v>Все норм</v>
      </c>
    </row>
    <row r="47" customFormat="false" ht="15.75" hidden="false" customHeight="false" outlineLevel="0" collapsed="false">
      <c r="A47" s="1" t="s">
        <v>20</v>
      </c>
      <c r="B47" s="7" t="n">
        <f aca="false">IFERROR(__xludf.dummyfunction("COUNTIF(FILTER('Переформатированный ответ'!$L$2:$L$200,('Переформатированный ответ'!$O$2:$O$200 &gt;-1)), A47)"),14)</f>
        <v>14</v>
      </c>
      <c r="D47" s="12"/>
    </row>
    <row r="48" customFormat="false" ht="15.75" hidden="false" customHeight="false" outlineLevel="0" collapsed="false">
      <c r="B48" s="0" t="n">
        <f aca="false">SUM(B38:B46)</f>
        <v>152</v>
      </c>
      <c r="C48" s="1"/>
      <c r="D48" s="12"/>
    </row>
  </sheetData>
  <mergeCells count="1">
    <mergeCell ref="F6:F9"/>
  </mergeCells>
  <conditionalFormatting sqref="D2:D48">
    <cfRule type="cellIs" priority="2" operator="equal" aboveAverage="0" equalAverage="0" bottom="0" percent="0" rank="0" text="" dxfId="1">
      <formula>"Все норм"</formula>
    </cfRule>
  </conditionalFormatting>
  <conditionalFormatting sqref="D2:D48">
    <cfRule type="cellIs" priority="3" operator="equal" aboveAverage="0" equalAverage="0" bottom="0" percent="0" rank="0" text="" dxfId="0">
      <formula>"Писос!"</formula>
    </cfRule>
  </conditionalFormatting>
  <conditionalFormatting sqref="D2:D11 D14:D36 D38:D48">
    <cfRule type="cellIs" priority="4" operator="equal" aboveAverage="0" equalAverage="0" bottom="0" percent="0" rank="0" text="" dxfId="11">
      <formula>"Почти писос!"</formula>
    </cfRule>
  </conditionalFormatting>
  <conditionalFormatting sqref="F16">
    <cfRule type="cellIs" priority="5" operator="equal" aboveAverage="0" equalAverage="0" bottom="0" percent="0" rank="0" text="" dxfId="1">
      <formula>"Обновлена"</formula>
    </cfRule>
  </conditionalFormatting>
  <conditionalFormatting sqref="F16">
    <cfRule type="cellIs" priority="6" operator="equal" aboveAverage="0" equalAverage="0" bottom="0" percent="0" rank="0" text="" dxfId="0">
      <formula>"Не обновлена"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4" min="4" style="0" width="20.3"/>
  </cols>
  <sheetData>
    <row r="1" customFormat="false" ht="15.75" hidden="false" customHeight="false" outlineLevel="0" collapsed="false">
      <c r="A1" s="14" t="n">
        <v>6</v>
      </c>
      <c r="B1" s="14" t="n">
        <f aca="false">COUNTIF('Переформатированный ответ'!$D$2:$D$200,A1)</f>
        <v>0</v>
      </c>
      <c r="H1" s="0" t="n">
        <f aca="false">IFERROR(__xludf.dummyfunction("FILTER(ARRAYFORMULA(IF(COUNTIF('Переформатированный ответ'!$E$2:$E$164,UNIQUE('Переформатированный ответ'!$E$2:$E$164))&gt;2,UNIQUE('Переформатированный ответ'!$E$2:$E$164),"""")),LEN(ARRAYFORMULA(IF(COUNTIF('Переформатированный ответ'!$E$2:$E$164,UNIQUE('Пе"&amp;"реформатированный ответ'!$E$2:$E$164))&gt;2,UNIQUE('Переформатированный ответ'!$E$2:$E$164),""""))))"),117)</f>
        <v>117</v>
      </c>
      <c r="I1" s="14" t="n">
        <f aca="false">IFERROR(__xludf.dummyfunction("if(len(H1),counta(filter('Переформатированный ответ'!$E$2:$E$200,'Переформатированный ответ'!$E$2:$E$200 = H1)),"""")"),85)</f>
        <v>85</v>
      </c>
    </row>
    <row r="2" customFormat="false" ht="15.75" hidden="false" customHeight="false" outlineLevel="0" collapsed="false">
      <c r="A2" s="14" t="n">
        <v>7</v>
      </c>
      <c r="B2" s="14" t="n">
        <f aca="false">COUNTIF('Переформатированный ответ'!$D$2:$D$200,A2)</f>
        <v>0</v>
      </c>
      <c r="H2" s="0" t="n">
        <f aca="false">IFERROR(__xludf.dummyfunction("""COMPUTED_VALUE"""),64)</f>
        <v>64</v>
      </c>
      <c r="I2" s="14" t="n">
        <f aca="false">IFERROR(__xludf.dummyfunction("if(len(H2),counta(filter('Переформатированный ответ'!$E$2:$E$200,'Переформатированный ответ'!$E$2:$E$200 = H2)),"""")"),13)</f>
        <v>13</v>
      </c>
    </row>
    <row r="3" customFormat="false" ht="15.75" hidden="false" customHeight="false" outlineLevel="0" collapsed="false">
      <c r="A3" s="14" t="n">
        <v>8</v>
      </c>
      <c r="B3" s="14" t="n">
        <f aca="false">COUNTIF('Переформатированный ответ'!$D$2:$D$200,A3)</f>
        <v>0</v>
      </c>
      <c r="H3" s="0" t="n">
        <f aca="false">IFERROR(__xludf.dummyfunction("""COMPUTED_VALUE"""),150)</f>
        <v>150</v>
      </c>
      <c r="I3" s="14" t="n">
        <f aca="false">IFERROR(__xludf.dummyfunction("if(len(H3),counta(filter('Переформатированный ответ'!$E$2:$E$200,'Переформатированный ответ'!$E$2:$E$200 = H3)),"""")"),3)</f>
        <v>3</v>
      </c>
    </row>
    <row r="4" customFormat="false" ht="15.75" hidden="false" customHeight="false" outlineLevel="0" collapsed="false">
      <c r="A4" s="14" t="n">
        <v>9</v>
      </c>
      <c r="B4" s="14" t="n">
        <f aca="false">COUNTIF('Переформатированный ответ'!$D$2:$D$200,A4)</f>
        <v>0</v>
      </c>
      <c r="H4" s="0" t="n">
        <f aca="false">IFERROR(__xludf.dummyfunction("""COMPUTED_VALUE"""),7)</f>
        <v>7</v>
      </c>
      <c r="I4" s="14" t="n">
        <f aca="false">IFERROR(__xludf.dummyfunction("if(len(H4),counta(filter('Переформатированный ответ'!$E$2:$E$200,'Переформатированный ответ'!$E$2:$E$200 = H4)),"""")"),3)</f>
        <v>3</v>
      </c>
    </row>
    <row r="5" customFormat="false" ht="15.75" hidden="false" customHeight="false" outlineLevel="0" collapsed="false">
      <c r="A5" s="14" t="n">
        <v>10</v>
      </c>
      <c r="B5" s="14" t="n">
        <f aca="false">COUNTIF('Переформатированный ответ'!$D$2:$D$200,A5)</f>
        <v>0</v>
      </c>
      <c r="H5" s="0" t="n">
        <f aca="false">IFERROR(__xludf.dummyfunction("""COMPUTED_VALUE"""),166)</f>
        <v>166</v>
      </c>
      <c r="I5" s="14" t="n">
        <f aca="false">IFERROR(__xludf.dummyfunction("if(len(H5),counta(filter('Переформатированный ответ'!$E$2:$E$200,'Переформатированный ответ'!$E$2:$E$200 = H5)),"""")"),3)</f>
        <v>3</v>
      </c>
    </row>
    <row r="6" customFormat="false" ht="15.75" hidden="false" customHeight="false" outlineLevel="0" collapsed="false">
      <c r="A6" s="14" t="n">
        <v>11</v>
      </c>
      <c r="B6" s="14" t="n">
        <f aca="false">COUNTIF('Переформатированный ответ'!$D$2:$D$200,A6)</f>
        <v>0</v>
      </c>
      <c r="H6" s="0" t="n">
        <f aca="false">IFERROR(__xludf.dummyfunction("""COMPUTED_VALUE"""),139)</f>
        <v>139</v>
      </c>
      <c r="I6" s="14" t="n">
        <f aca="false">IFERROR(__xludf.dummyfunction("if(len(H6),counta(filter('Переформатированный ответ'!$E$2:$E$200,'Переформатированный ответ'!$E$2:$E$200 = H6)),"""")"),9)</f>
        <v>9</v>
      </c>
    </row>
    <row r="7" customFormat="false" ht="15.75" hidden="false" customHeight="false" outlineLevel="0" collapsed="false">
      <c r="H7" s="0" t="n">
        <f aca="false">IFERROR(__xludf.dummyfunction("""COMPUTED_VALUE"""),149)</f>
        <v>149</v>
      </c>
      <c r="I7" s="14" t="n">
        <f aca="false">IFERROR(__xludf.dummyfunction("if(len(H7),counta(filter('Переформатированный ответ'!$E$2:$E$200,'Переформатированный ответ'!$E$2:$E$200 = H7)),"""")"),11)</f>
        <v>11</v>
      </c>
    </row>
    <row r="8" customFormat="false" ht="15.75" hidden="false" customHeight="false" outlineLevel="0" collapsed="false">
      <c r="H8" s="0" t="n">
        <f aca="false">IFERROR(__xludf.dummyfunction("""COMPUTED_VALUE"""),74)</f>
        <v>74</v>
      </c>
      <c r="I8" s="14" t="n">
        <f aca="false">IFERROR(__xludf.dummyfunction("if(len(H8),counta(filter('Переформатированный ответ'!$E$2:$E$200,'Переформатированный ответ'!$E$2:$E$200 = H8)),"""")"),3)</f>
        <v>3</v>
      </c>
    </row>
    <row r="9" customFormat="false" ht="15.75" hidden="false" customHeight="false" outlineLevel="0" collapsed="false">
      <c r="H9" s="0" t="n">
        <f aca="false">IFERROR(__xludf.dummyfunction("""COMPUTED_VALUE"""),140)</f>
        <v>140</v>
      </c>
      <c r="I9" s="14" t="n">
        <f aca="false">IFERROR(__xludf.dummyfunction("if(len(H9),counta(filter('Переформатированный ответ'!$E$2:$E$200,'Переформатированный ответ'!$E$2:$E$200 = H9)),"""")"),6)</f>
        <v>6</v>
      </c>
    </row>
    <row r="10" customFormat="false" ht="15.75" hidden="false" customHeight="false" outlineLevel="0" collapsed="false">
      <c r="I10" s="14" t="str">
        <f aca="false">IFERROR(__xludf.dummyfunction("if(len(H10),counta(filter('Переформатированный ответ'!$E$2:$E$200,'Переформатированный ответ'!$E$2:$E$200 = H10)),"""")"),"")</f>
        <v/>
      </c>
    </row>
    <row r="11" customFormat="false" ht="15.75" hidden="false" customHeight="false" outlineLevel="0" collapsed="false">
      <c r="I11" s="14" t="str">
        <f aca="false">IFERROR(__xludf.dummyfunction("if(len(H11),counta(filter('Переформатированный ответ'!$E$2:$E$200,'Переформатированный ответ'!$E$2:$E$200 = H11)),"""")"),"")</f>
        <v/>
      </c>
    </row>
    <row r="12" customFormat="false" ht="15.75" hidden="false" customHeight="false" outlineLevel="0" collapsed="false">
      <c r="I12" s="14" t="str">
        <f aca="false">IFERROR(__xludf.dummyfunction("if(len(H12),counta(filter('Переформатированный ответ'!$E$2:$E$200,'Переформатированный ответ'!$E$2:$E$200 = H12)),"""")"),"")</f>
        <v/>
      </c>
    </row>
    <row r="13" customFormat="false" ht="15.75" hidden="false" customHeight="false" outlineLevel="0" collapsed="false">
      <c r="I13" s="14" t="str">
        <f aca="false">IFERROR(__xludf.dummyfunction("if(len(H13),counta(filter('Переформатированный ответ'!$E$2:$E$200,'Переформатированный ответ'!$E$2:$E$200 = H13)),"""")"),"")</f>
        <v/>
      </c>
    </row>
    <row r="14" customFormat="false" ht="15.75" hidden="false" customHeight="false" outlineLevel="0" collapsed="false">
      <c r="A14" s="44" t="n">
        <f aca="true">TODAY()</f>
        <v>44431</v>
      </c>
      <c r="I14" s="14" t="str">
        <f aca="false">IFERROR(__xludf.dummyfunction("if(len(H14),counta(filter('Переформатированный ответ'!$E$2:$E$200,'Переформатированный ответ'!$E$2:$E$200 = H14)),"""")"),"")</f>
        <v/>
      </c>
    </row>
    <row r="15" customFormat="false" ht="15.75" hidden="false" customHeight="false" outlineLevel="0" collapsed="false">
      <c r="A15" s="1" t="s">
        <v>803</v>
      </c>
      <c r="B15" s="1" t="s">
        <v>804</v>
      </c>
      <c r="C15" s="1" t="s">
        <v>805</v>
      </c>
      <c r="H15" s="45" t="s">
        <v>806</v>
      </c>
      <c r="I15" s="0" t="n">
        <f aca="false">COUNTA('Переформатированный ответ'!$E$2:$E$200)-SUM(I1:I14)</f>
        <v>39</v>
      </c>
    </row>
    <row r="16" customFormat="false" ht="15.75" hidden="false" customHeight="false" outlineLevel="0" collapsed="false">
      <c r="A16" s="46" t="n">
        <v>43595</v>
      </c>
      <c r="B16" s="1" t="n">
        <v>0</v>
      </c>
      <c r="C16" s="1" t="n">
        <v>0</v>
      </c>
      <c r="J16" s="1" t="s">
        <v>807</v>
      </c>
      <c r="K16" s="0" t="n">
        <f aca="false">COUNTIF('Переформатированный ответ'!$M$2:$M$200,"Да")</f>
        <v>51</v>
      </c>
      <c r="M16" s="1"/>
    </row>
    <row r="17" customFormat="false" ht="15.75" hidden="false" customHeight="false" outlineLevel="0" collapsed="false">
      <c r="A17" s="46" t="n">
        <v>43596</v>
      </c>
      <c r="B17" s="14" t="n">
        <f aca="true" t="array" ref="B17:B17">IF(TODAY() &gt;= A17,COUNTIF(DATE(2019,MONTH('Переформатированный ответ'!$A$2:$A$200),DAY('Переформатированный ответ'!$A$2:$A$200)),A17),"")</f>
        <v>191</v>
      </c>
      <c r="C17" s="0" t="n">
        <f aca="true">IF(TODAY() &gt;= A17,B17+C16,"")</f>
        <v>191</v>
      </c>
      <c r="J17" s="1" t="s">
        <v>808</v>
      </c>
      <c r="K17" s="0" t="n">
        <f aca="false">COUNTIF('Переформатированный ответ'!$M$2:$M$200,"Нет")</f>
        <v>124</v>
      </c>
      <c r="M17" s="1"/>
    </row>
    <row r="18" customFormat="false" ht="15.75" hidden="false" customHeight="false" outlineLevel="0" collapsed="false">
      <c r="A18" s="46" t="n">
        <v>43597</v>
      </c>
      <c r="B18" s="14" t="n">
        <f aca="true" t="array" ref="B18:B18">IF(TODAY() &gt;= A18,COUNTIF(DATE(2019,MONTH('Переформатированный ответ'!$A$2:$A$200),DAY('Переформатированный ответ'!$A$2:$A$200)),A18),"")</f>
        <v>191</v>
      </c>
      <c r="C18" s="0" t="n">
        <f aca="true">IF(TODAY() &gt;= A18,B18+C17,"")</f>
        <v>382</v>
      </c>
    </row>
    <row r="19" customFormat="false" ht="15.75" hidden="false" customHeight="false" outlineLevel="0" collapsed="false">
      <c r="A19" s="46" t="n">
        <v>43598</v>
      </c>
      <c r="B19" s="14" t="n">
        <f aca="true" t="array" ref="B19:B19">IF(TODAY() &gt;= A19,COUNTIF(DATE(2019,MONTH('Переформатированный ответ'!$A$2:$A$200),DAY('Переформатированный ответ'!$A$2:$A$200)),A19),"")</f>
        <v>191</v>
      </c>
      <c r="C19" s="0" t="n">
        <f aca="true">IF(TODAY() &gt;= A19,B19+C18,"")</f>
        <v>573</v>
      </c>
    </row>
    <row r="20" customFormat="false" ht="15.75" hidden="false" customHeight="false" outlineLevel="0" collapsed="false">
      <c r="A20" s="46" t="n">
        <v>43599</v>
      </c>
      <c r="B20" s="14" t="n">
        <f aca="true" t="array" ref="B20:B20">IF(TODAY() &gt;= A20,COUNTIF(DATE(2019,MONTH('Переформатированный ответ'!$A$2:$A$200),DAY('Переформатированный ответ'!$A$2:$A$200)),A20),"")</f>
        <v>191</v>
      </c>
      <c r="C20" s="0" t="n">
        <f aca="true">IF(TODAY() &gt;= A20,B20+C19,"")</f>
        <v>764</v>
      </c>
    </row>
    <row r="21" customFormat="false" ht="15.75" hidden="false" customHeight="false" outlineLevel="0" collapsed="false">
      <c r="A21" s="46" t="n">
        <v>43600</v>
      </c>
      <c r="B21" s="14" t="n">
        <f aca="true" t="array" ref="B21:B21">IF(TODAY() &gt;= A21,COUNTIF(DATE(2019,MONTH('Переформатированный ответ'!$A$2:$A$200),DAY('Переформатированный ответ'!$A$2:$A$200)),A21),"")</f>
        <v>191</v>
      </c>
      <c r="C21" s="0" t="n">
        <f aca="true">IF(TODAY() &gt;= A21,B21+C20,"")</f>
        <v>955</v>
      </c>
    </row>
    <row r="22" customFormat="false" ht="15.75" hidden="false" customHeight="false" outlineLevel="0" collapsed="false">
      <c r="A22" s="46" t="n">
        <v>43601</v>
      </c>
      <c r="B22" s="14" t="n">
        <f aca="true" t="array" ref="B22:B22">IF(TODAY() &gt;= A22,COUNTIF(DATE(2019,MONTH('Переформатированный ответ'!$A$2:$A$200),DAY('Переформатированный ответ'!$A$2:$A$200)),A22),"")</f>
        <v>191</v>
      </c>
      <c r="C22" s="0" t="n">
        <f aca="true">IF(TODAY() &gt;= A22,B22+C21,"")</f>
        <v>1146</v>
      </c>
    </row>
    <row r="23" customFormat="false" ht="15.75" hidden="false" customHeight="false" outlineLevel="0" collapsed="false">
      <c r="A23" s="46" t="n">
        <v>43602</v>
      </c>
      <c r="B23" s="14" t="n">
        <f aca="true" t="array" ref="B23:B23">IF(TODAY() &gt;= A23,COUNTIF(DATE(2019,MONTH('Переформатированный ответ'!$A$2:$A$200),DAY('Переформатированный ответ'!$A$2:$A$200)),A23),"")</f>
        <v>191</v>
      </c>
      <c r="C23" s="0" t="n">
        <f aca="true">IF(TODAY() &gt;= A23,B23+C22,"")</f>
        <v>1337</v>
      </c>
    </row>
    <row r="24" customFormat="false" ht="15.75" hidden="false" customHeight="false" outlineLevel="0" collapsed="false">
      <c r="A24" s="46" t="n">
        <v>43603</v>
      </c>
      <c r="B24" s="14" t="n">
        <f aca="true" t="array" ref="B24:B24">IF(TODAY() &gt;= A24,COUNTIF(DATE(2019,MONTH('Переформатированный ответ'!$A$2:$A$200),DAY('Переформатированный ответ'!$A$2:$A$200)),A24),"")</f>
        <v>191</v>
      </c>
      <c r="C24" s="0" t="n">
        <f aca="true">IF(TODAY() &gt;= A24,B24+C23,"")</f>
        <v>1528</v>
      </c>
    </row>
    <row r="25" customFormat="false" ht="15.75" hidden="false" customHeight="false" outlineLevel="0" collapsed="false">
      <c r="A25" s="46" t="n">
        <v>43604</v>
      </c>
      <c r="B25" s="14" t="n">
        <f aca="true" t="array" ref="B25:B25">IF(TODAY() &gt;= A25,COUNTIF(DATE(2019,MONTH('Переформатированный ответ'!$A$2:$A$200),DAY('Переформатированный ответ'!$A$2:$A$200)),A25),"")</f>
        <v>191</v>
      </c>
      <c r="C25" s="0" t="n">
        <f aca="true">IF(TODAY() &gt;= A25,B25+C24,"")</f>
        <v>1719</v>
      </c>
    </row>
    <row r="26" customFormat="false" ht="15.75" hidden="false" customHeight="false" outlineLevel="0" collapsed="false">
      <c r="A26" s="46" t="n">
        <v>43605</v>
      </c>
      <c r="B26" s="14" t="n">
        <f aca="true" t="array" ref="B26:B26">IF(TODAY() &gt;= A26,COUNTIF(DATE(2019,MONTH('Переформатированный ответ'!$A$2:$A$200),DAY('Переформатированный ответ'!$A$2:$A$200)),A26),"")</f>
        <v>191</v>
      </c>
      <c r="C26" s="0" t="n">
        <f aca="true">IF(TODAY() &gt;= A26,B26+C25,"")</f>
        <v>1910</v>
      </c>
    </row>
    <row r="27" customFormat="false" ht="15.75" hidden="false" customHeight="false" outlineLevel="0" collapsed="false">
      <c r="A27" s="46" t="n">
        <v>43606</v>
      </c>
      <c r="B27" s="14" t="n">
        <f aca="true" t="array" ref="B27:B27">IF(TODAY() &gt;= A27,COUNTIF(DATE(2019,MONTH('Переформатированный ответ'!$A$2:$A$200),DAY('Переформатированный ответ'!$A$2:$A$200)),A27),"")</f>
        <v>191</v>
      </c>
      <c r="C27" s="0" t="n">
        <f aca="true">IF(TODAY() &gt;= A27,B27+C26,"")</f>
        <v>2101</v>
      </c>
    </row>
    <row r="28" customFormat="false" ht="15.75" hidden="false" customHeight="false" outlineLevel="0" collapsed="false">
      <c r="A28" s="46" t="n">
        <v>43607</v>
      </c>
      <c r="B28" s="14" t="n">
        <f aca="true" t="array" ref="B28:B28">IF(TODAY() &gt;= A28,COUNTIF(DATE(2019,MONTH('Переформатированный ответ'!$A$2:$A$200),DAY('Переформатированный ответ'!$A$2:$A$200)),A28),"")</f>
        <v>191</v>
      </c>
      <c r="C28" s="0" t="n">
        <f aca="true">IF(TODAY() &gt;= A28,B28+C27,"")</f>
        <v>2292</v>
      </c>
    </row>
    <row r="29" customFormat="false" ht="15.75" hidden="false" customHeight="false" outlineLevel="0" collapsed="false">
      <c r="A29" s="46" t="n">
        <v>43608</v>
      </c>
      <c r="B29" s="14" t="n">
        <f aca="true" t="array" ref="B29:B29">IF(TODAY() &gt;= A29,COUNTIF(DATE(2019,MONTH('Переформатированный ответ'!$A$2:$A$200),DAY('Переформатированный ответ'!$A$2:$A$200)),A29),"")</f>
        <v>191</v>
      </c>
      <c r="C29" s="0" t="n">
        <f aca="true">IF(TODAY() &gt;= A29,B29+C28,"")</f>
        <v>2483</v>
      </c>
    </row>
    <row r="30" customFormat="false" ht="15.75" hidden="false" customHeight="false" outlineLevel="0" collapsed="false">
      <c r="A30" s="46" t="n">
        <v>43609</v>
      </c>
      <c r="B30" s="14" t="n">
        <f aca="true" t="array" ref="B30:B30">IF(TODAY() &gt;= A30,COUNTIF(DATE(2019,MONTH('Переформатированный ответ'!$A$2:$A$200),DAY('Переформатированный ответ'!$A$2:$A$200)),A30),"")</f>
        <v>191</v>
      </c>
      <c r="C30" s="0" t="n">
        <f aca="true">IF(TODAY() &gt;= A30,B30+C29,"")</f>
        <v>2674</v>
      </c>
    </row>
    <row r="31" customFormat="false" ht="15.75" hidden="false" customHeight="false" outlineLevel="0" collapsed="false">
      <c r="A31" s="46" t="n">
        <v>43610</v>
      </c>
      <c r="B31" s="14" t="n">
        <f aca="true" t="array" ref="B31:B31">IF(TODAY() &gt;= A31,COUNTIF(DATE(2019,MONTH('Переформатированный ответ'!$A$2:$A$200),DAY('Переформатированный ответ'!$A$2:$A$200)),A31),"")</f>
        <v>191</v>
      </c>
      <c r="C31" s="0" t="n">
        <f aca="true">IF(TODAY() &gt;= A31,B31+C30,"")</f>
        <v>2865</v>
      </c>
    </row>
    <row r="32" customFormat="false" ht="15.75" hidden="false" customHeight="false" outlineLevel="0" collapsed="false">
      <c r="A32" s="46" t="n">
        <v>43611</v>
      </c>
      <c r="B32" s="14" t="n">
        <f aca="true" t="array" ref="B32:B32">IF(TODAY() &gt;= A32,COUNTIF(DATE(2019,MONTH('Переформатированный ответ'!$A$2:$A$200),DAY('Переформатированный ответ'!$A$2:$A$200)),A32),"")</f>
        <v>191</v>
      </c>
      <c r="C32" s="0" t="n">
        <f aca="true">IF(TODAY() &gt;= A32,B32+C31,"")</f>
        <v>3056</v>
      </c>
    </row>
    <row r="33" customFormat="false" ht="15.75" hidden="false" customHeight="false" outlineLevel="0" collapsed="false">
      <c r="A33" s="46" t="n">
        <v>43612</v>
      </c>
      <c r="B33" s="14" t="n">
        <f aca="true" t="array" ref="B33:B33">IF(TODAY() &gt;= A33,COUNTIF(DATE(2019,MONTH('Переформатированный ответ'!$A$2:$A$200),DAY('Переформатированный ответ'!$A$2:$A$200)),A33),"")</f>
        <v>191</v>
      </c>
      <c r="C33" s="0" t="n">
        <f aca="true">IF(TODAY() &gt;= A33,B33+C32,"")</f>
        <v>3247</v>
      </c>
    </row>
    <row r="34" customFormat="false" ht="15.75" hidden="false" customHeight="false" outlineLevel="0" collapsed="false">
      <c r="A34" s="46" t="n">
        <v>43613</v>
      </c>
      <c r="B34" s="14" t="n">
        <f aca="true" t="array" ref="B34:B34">IF(TODAY() &gt;= A34,COUNTIF(DATE(2019,MONTH('Переформатированный ответ'!$A$2:$A$200),DAY('Переформатированный ответ'!$A$2:$A$200)),A34),"")</f>
        <v>191</v>
      </c>
      <c r="C34" s="0" t="n">
        <f aca="true">IF(TODAY() &gt;= A34,B34+C33,"")</f>
        <v>3438</v>
      </c>
      <c r="F34" s="0" t="n">
        <f aca="false">SUM(F35:F38)</f>
        <v>175</v>
      </c>
    </row>
    <row r="35" customFormat="false" ht="15.75" hidden="false" customHeight="false" outlineLevel="0" collapsed="false">
      <c r="A35" s="46" t="n">
        <v>43614</v>
      </c>
      <c r="B35" s="14" t="n">
        <f aca="true" t="array" ref="B35:B35">IF(TODAY() &gt;= A35,COUNTIF(DATE(2019,MONTH('Переформатированный ответ'!$A$2:$A$200),DAY('Переформатированный ответ'!$A$2:$A$200)),A35),"")</f>
        <v>191</v>
      </c>
      <c r="C35" s="0" t="n">
        <f aca="true">IF(TODAY() &gt;= A35,B35+C34,"")</f>
        <v>3629</v>
      </c>
      <c r="D35" s="1" t="s">
        <v>809</v>
      </c>
      <c r="E35" s="1" t="n">
        <v>-1</v>
      </c>
      <c r="F35" s="14" t="n">
        <f aca="false">IFERROR(__xludf.dummyfunction("counta(iferror(filter('Переформатированный ответ'!$O$2:$O$200,'Переформатированный ответ'!$O$2:$O$200 = E35)))"),9)</f>
        <v>9</v>
      </c>
    </row>
    <row r="36" customFormat="false" ht="15.75" hidden="false" customHeight="false" outlineLevel="0" collapsed="false">
      <c r="A36" s="46" t="n">
        <v>43615</v>
      </c>
      <c r="B36" s="14" t="n">
        <f aca="true" t="array" ref="B36:B36">IF(TODAY() &gt;= A36,COUNTIF(DATE(2019,MONTH('Переформатированный ответ'!$A$2:$A$200),DAY('Переформатированный ответ'!$A$2:$A$200)),A36),"")</f>
        <v>191</v>
      </c>
      <c r="C36" s="0" t="n">
        <f aca="true">IF(TODAY() &gt;= A36,B36+C35,"")</f>
        <v>3820</v>
      </c>
      <c r="D36" s="1" t="s">
        <v>810</v>
      </c>
      <c r="E36" s="1" t="n">
        <v>0</v>
      </c>
      <c r="F36" s="14" t="n">
        <f aca="false">IFERROR(__xludf.dummyfunction("counta(iferror(filter('Переформатированный ответ'!$O$2:$O$200,'Переформатированный ответ'!$O$2:$O$200 = E36)))"),10)</f>
        <v>10</v>
      </c>
    </row>
    <row r="37" customFormat="false" ht="15.75" hidden="false" customHeight="false" outlineLevel="0" collapsed="false">
      <c r="A37" s="46" t="n">
        <v>43616</v>
      </c>
      <c r="B37" s="14" t="n">
        <f aca="true" t="array" ref="B37:B37">IF(TODAY() &gt;= A37,COUNTIF(DATE(2019,MONTH('Переформатированный ответ'!$A$2:$A$200),DAY('Переформатированный ответ'!$A$2:$A$200)),A37),"")</f>
        <v>191</v>
      </c>
      <c r="C37" s="0" t="n">
        <f aca="true">IF(TODAY() &gt;= A37,B37+C36,"")</f>
        <v>4011</v>
      </c>
      <c r="D37" s="1" t="s">
        <v>811</v>
      </c>
      <c r="E37" s="1" t="n">
        <v>1</v>
      </c>
      <c r="F37" s="14" t="n">
        <f aca="false">IFERROR(__xludf.dummyfunction("counta(iferror(filter('Переформатированный ответ'!$O$2:$O$200,'Переформатированный ответ'!$O$2:$O$200 = E37)))"),13)</f>
        <v>13</v>
      </c>
    </row>
    <row r="38" customFormat="false" ht="15.75" hidden="false" customHeight="false" outlineLevel="0" collapsed="false">
      <c r="A38" s="46" t="n">
        <v>43617</v>
      </c>
      <c r="B38" s="14" t="n">
        <f aca="true" t="array" ref="B38:B38">IF(TODAY() &gt;= A38,COUNTIF(DATE(2019,MONTH('Переформатированный ответ'!$A$2:$A$200),DAY('Переформатированный ответ'!$A$2:$A$200)),A38),"")</f>
        <v>191</v>
      </c>
      <c r="C38" s="0" t="n">
        <f aca="true">IF(TODAY() &gt;= A38,B38+C37,"")</f>
        <v>4202</v>
      </c>
      <c r="D38" s="1" t="s">
        <v>812</v>
      </c>
      <c r="E38" s="1" t="n">
        <v>2</v>
      </c>
      <c r="F38" s="14" t="n">
        <f aca="false">IFERROR(__xludf.dummyfunction("counta(iferror(filter('Переформатированный ответ'!$O$2:$O$200,'Переформатированный ответ'!$O$2:$O$200 = E38)))"),143)</f>
        <v>143</v>
      </c>
    </row>
    <row r="39" customFormat="false" ht="15.75" hidden="false" customHeight="false" outlineLevel="0" collapsed="false">
      <c r="A39" s="46" t="n">
        <v>43618</v>
      </c>
      <c r="B39" s="14" t="n">
        <f aca="true" t="array" ref="B39:B39">IF(TODAY() &gt;= A39,COUNTIF(DATE(2019,MONTH('Переформатированный ответ'!$A$2:$A$200),DAY('Переформатированный ответ'!$A$2:$A$200)),A39),"")</f>
        <v>191</v>
      </c>
      <c r="C39" s="0" t="n">
        <f aca="true">IF(TODAY() &gt;= A39,B39+C38,"")</f>
        <v>4393</v>
      </c>
      <c r="F39" s="14"/>
    </row>
    <row r="40" customFormat="false" ht="15.75" hidden="false" customHeight="false" outlineLevel="0" collapsed="false">
      <c r="A40" s="46" t="n">
        <v>43619</v>
      </c>
      <c r="B40" s="14" t="n">
        <f aca="true" t="array" ref="B40:B40">IF(TODAY() &gt;= A40,COUNTIF(DATE(2019,MONTH('Переформатированный ответ'!$A$2:$A$200),DAY('Переформатированный ответ'!$A$2:$A$200)),A40),"")</f>
        <v>191</v>
      </c>
      <c r="C40" s="0" t="n">
        <f aca="true">IF(TODAY() &gt;= A40,B40+C39,"")</f>
        <v>4584</v>
      </c>
    </row>
    <row r="41" customFormat="false" ht="15.75" hidden="false" customHeight="false" outlineLevel="0" collapsed="false">
      <c r="A41" s="46" t="n">
        <v>43620</v>
      </c>
      <c r="B41" s="14" t="n">
        <f aca="true" t="array" ref="B41:B41">IF(TODAY() &gt;= A41,COUNTIF(DATE(2019,MONTH('Переформатированный ответ'!$A$2:$A$200),DAY('Переформатированный ответ'!$A$2:$A$200)),A41),"")</f>
        <v>191</v>
      </c>
      <c r="C41" s="0" t="n">
        <f aca="true">IF(TODAY() &gt;= A41,B41+C40,"")</f>
        <v>4775</v>
      </c>
    </row>
    <row r="42" customFormat="false" ht="15.75" hidden="false" customHeight="false" outlineLevel="0" collapsed="false">
      <c r="A42" s="46" t="n">
        <v>43621</v>
      </c>
      <c r="B42" s="14" t="n">
        <f aca="true" t="array" ref="B42:B42">IF(TODAY() &gt;= A42,COUNTIF(DATE(2019,MONTH('Переформатированный ответ'!$A$2:$A$200),DAY('Переформатированный ответ'!$A$2:$A$200)),A42),"")</f>
        <v>191</v>
      </c>
      <c r="C42" s="0" t="n">
        <f aca="true">IF(TODAY() &gt;= A42,B42+C41,"")</f>
        <v>4966</v>
      </c>
    </row>
    <row r="43" customFormat="false" ht="15.75" hidden="false" customHeight="false" outlineLevel="0" collapsed="false">
      <c r="A43" s="46" t="n">
        <v>43622</v>
      </c>
      <c r="B43" s="14" t="n">
        <f aca="true" t="array" ref="B43:B43">IF(TODAY() &gt;= A43,COUNTIF(DATE(2019,MONTH('Переформатированный ответ'!$A$2:$A$200),DAY('Переформатированный ответ'!$A$2:$A$200)),A43),"")</f>
        <v>191</v>
      </c>
      <c r="C43" s="0" t="n">
        <f aca="true">IF(TODAY() &gt;= A43,B43+C42,"")</f>
        <v>5157</v>
      </c>
    </row>
    <row r="44" customFormat="false" ht="15.75" hidden="false" customHeight="false" outlineLevel="0" collapsed="false">
      <c r="A44" s="46" t="n">
        <v>43623</v>
      </c>
      <c r="B44" s="14" t="n">
        <f aca="true" t="array" ref="B44:B44">IF(TODAY() &gt;= A44,COUNTIF(DATE(2019,MONTH('Переформатированный ответ'!$A$2:$A$200),DAY('Переформатированный ответ'!$A$2:$A$200)),A44),"")</f>
        <v>191</v>
      </c>
      <c r="C44" s="0" t="n">
        <f aca="true">IF(TODAY() &gt;= A44,B44+C43,"")</f>
        <v>5348</v>
      </c>
    </row>
    <row r="45" customFormat="false" ht="15.75" hidden="false" customHeight="false" outlineLevel="0" collapsed="false">
      <c r="A45" s="46" t="n">
        <v>43624</v>
      </c>
      <c r="B45" s="14" t="n">
        <f aca="true" t="array" ref="B45:B45">IF(TODAY() &gt;= A45,COUNTIF(DATE(2019,MONTH('Переформатированный ответ'!$A$2:$A$200),DAY('Переформатированный ответ'!$A$2:$A$200)),A45),"")</f>
        <v>191</v>
      </c>
      <c r="C45" s="0" t="n">
        <f aca="true">IF(TODAY() &gt;= A45,B45+C44,"")</f>
        <v>5539</v>
      </c>
    </row>
    <row r="46" customFormat="false" ht="15.75" hidden="false" customHeight="false" outlineLevel="0" collapsed="false">
      <c r="A46" s="46" t="n">
        <v>43625</v>
      </c>
      <c r="B46" s="14" t="n">
        <f aca="true" t="array" ref="B46:B46">IF(TODAY() &gt;= A46,COUNTIF(DATE(2019,MONTH('Переформатированный ответ'!$A$2:$A$200),DAY('Переформатированный ответ'!$A$2:$A$200)),A46),"")</f>
        <v>191</v>
      </c>
      <c r="C46" s="0" t="n">
        <f aca="true">IF(TODAY() &gt;= A46,B46+C45,"")</f>
        <v>5730</v>
      </c>
    </row>
    <row r="47" customFormat="false" ht="15.75" hidden="false" customHeight="false" outlineLevel="0" collapsed="false">
      <c r="A47" s="46" t="n">
        <v>43626</v>
      </c>
      <c r="B47" s="14" t="n">
        <f aca="true" t="array" ref="B47:B47">IF(TODAY() &gt;= A47,COUNTIF(DATE(2019,MONTH('Переформатированный ответ'!$A$2:$A$200),DAY('Переформатированный ответ'!$A$2:$A$200)),A47),"")</f>
        <v>191</v>
      </c>
      <c r="C47" s="0" t="n">
        <f aca="true">IF(TODAY() &gt;= A47,B47+C46,"")</f>
        <v>5921</v>
      </c>
    </row>
    <row r="48" customFormat="false" ht="15.75" hidden="false" customHeight="false" outlineLevel="0" collapsed="false">
      <c r="A48" s="46" t="n">
        <v>43627</v>
      </c>
      <c r="B48" s="14" t="n">
        <f aca="true" t="array" ref="B48:B48">IF(TODAY() &gt;= A48,COUNTIF(DATE(2019,MONTH('Переформатированный ответ'!$A$2:$A$200),DAY('Переформатированный ответ'!$A$2:$A$200)),A48),"")</f>
        <v>191</v>
      </c>
      <c r="C48" s="0" t="n">
        <f aca="true">IF(TODAY() &gt;= A48,B48+C47,"")</f>
        <v>6112</v>
      </c>
    </row>
    <row r="49" customFormat="false" ht="15.75" hidden="false" customHeight="false" outlineLevel="0" collapsed="false">
      <c r="A49" s="46" t="n">
        <v>43628</v>
      </c>
      <c r="B49" s="14" t="n">
        <f aca="true" t="array" ref="B49:B49">IF(TODAY() &gt;= A49,COUNTIF(DATE(2019,MONTH('Переформатированный ответ'!$A$2:$A$200),DAY('Переформатированный ответ'!$A$2:$A$200)),A49),"")</f>
        <v>191</v>
      </c>
      <c r="C49" s="0" t="n">
        <f aca="true">IF(TODAY() &gt;= A49,B49+C48,"")</f>
        <v>6303</v>
      </c>
    </row>
    <row r="50" customFormat="false" ht="15.75" hidden="false" customHeight="false" outlineLevel="0" collapsed="false">
      <c r="A50" s="46"/>
      <c r="B50" s="14"/>
      <c r="D50" s="47" t="s">
        <v>813</v>
      </c>
      <c r="E50" s="47"/>
      <c r="F50" s="47"/>
      <c r="G50" s="47"/>
      <c r="H50" s="47"/>
    </row>
    <row r="51" customFormat="false" ht="15.75" hidden="false" customHeight="false" outlineLevel="0" collapsed="false">
      <c r="A51" s="46"/>
      <c r="B51" s="14"/>
      <c r="E51" s="1" t="s">
        <v>814</v>
      </c>
      <c r="F51" s="1" t="s">
        <v>815</v>
      </c>
      <c r="G51" s="1" t="s">
        <v>816</v>
      </c>
      <c r="I51" s="1" t="s">
        <v>776</v>
      </c>
    </row>
    <row r="52" customFormat="false" ht="15.75" hidden="false" customHeight="false" outlineLevel="0" collapsed="false">
      <c r="A52" s="46"/>
      <c r="B52" s="14"/>
      <c r="E52" s="1"/>
    </row>
    <row r="53" customFormat="false" ht="15.75" hidden="false" customHeight="false" outlineLevel="0" collapsed="false">
      <c r="A53" s="46"/>
      <c r="B53" s="14"/>
    </row>
    <row r="54" customFormat="false" ht="15.75" hidden="false" customHeight="false" outlineLevel="0" collapsed="false">
      <c r="D54" s="48" t="n">
        <f aca="false">IFERROR(__xludf.dummyfunction("SORT(FILTER('Переформатированный ответ'!$A$2:$A$181,NOT('Переформатированный ответ'!$A$2:$A$181 = """"),arrayformula((G52 = """")+((('Переформатированный ответ'!$I$2:$I$181 = G52)+('Переформатированный ответ'!$J$2:$J$181 = G52)+('Переформатированный ответ"&amp;"'!$K$2:$K$181 = G52)+('Переформатированный ответ'!$L$2:$L$181 = G52))&gt;0) &gt; 0),arrayformula((F52 = """")+('Переформатированный ответ'!$E$2:$E$181 = F52) &gt; 0),arrayformula((E52 = """")+('Переформатированный ответ'!$D$2:$D$181 = E52) &gt; 0),arrayformula((I52 ="&amp;" """")+('Переформатированный ответ'!$M$2:$M$181 = I52) &gt; 0)),1,TRUE)"),43596.1672375926)</f>
        <v>43596.16724</v>
      </c>
      <c r="E54" s="14" t="n">
        <f aca="false">IF(D54="","",ROW()-53)</f>
        <v>1</v>
      </c>
    </row>
    <row r="55" customFormat="false" ht="15.75" hidden="false" customHeight="false" outlineLevel="0" collapsed="false">
      <c r="D55" s="48" t="n">
        <f aca="false">IFERROR(__xludf.dummyfunction("""COMPUTED_VALUE"""),43596.1710209028)</f>
        <v>43596.17102</v>
      </c>
      <c r="E55" s="14" t="n">
        <f aca="false">IF(D55="","",ROW()-53)</f>
        <v>2</v>
      </c>
    </row>
    <row r="56" customFormat="false" ht="15.75" hidden="false" customHeight="false" outlineLevel="0" collapsed="false">
      <c r="D56" s="48" t="n">
        <f aca="false">IFERROR(__xludf.dummyfunction("""COMPUTED_VALUE"""),43596.1716202894)</f>
        <v>43596.17162</v>
      </c>
      <c r="E56" s="14" t="n">
        <f aca="false">IF(D56="","",ROW()-53)</f>
        <v>3</v>
      </c>
    </row>
    <row r="57" customFormat="false" ht="15.75" hidden="false" customHeight="false" outlineLevel="0" collapsed="false">
      <c r="D57" s="48" t="n">
        <f aca="false">IFERROR(__xludf.dummyfunction("""COMPUTED_VALUE"""),43596.1737283102)</f>
        <v>43596.17373</v>
      </c>
      <c r="E57" s="14" t="n">
        <f aca="false">IF(D57="","",ROW()-53)</f>
        <v>4</v>
      </c>
    </row>
    <row r="58" customFormat="false" ht="15.75" hidden="false" customHeight="false" outlineLevel="0" collapsed="false">
      <c r="D58" s="48" t="n">
        <f aca="false">IFERROR(__xludf.dummyfunction("""COMPUTED_VALUE"""),43596.1738478009)</f>
        <v>43596.17385</v>
      </c>
      <c r="E58" s="14" t="n">
        <f aca="false">IF(D58="","",ROW()-53)</f>
        <v>5</v>
      </c>
    </row>
    <row r="59" customFormat="false" ht="15.75" hidden="false" customHeight="false" outlineLevel="0" collapsed="false">
      <c r="D59" s="48" t="n">
        <f aca="false">IFERROR(__xludf.dummyfunction("""COMPUTED_VALUE"""),43596.1741424769)</f>
        <v>43596.17414</v>
      </c>
      <c r="E59" s="14" t="n">
        <f aca="false">IF(D59="","",ROW()-53)</f>
        <v>6</v>
      </c>
    </row>
    <row r="60" customFormat="false" ht="15.75" hidden="false" customHeight="false" outlineLevel="0" collapsed="false">
      <c r="D60" s="48" t="n">
        <f aca="false">IFERROR(__xludf.dummyfunction("""COMPUTED_VALUE"""),43596.1755085185)</f>
        <v>43596.17551</v>
      </c>
      <c r="E60" s="14" t="n">
        <f aca="false">IF(D60="","",ROW()-53)</f>
        <v>7</v>
      </c>
    </row>
    <row r="61" customFormat="false" ht="15.75" hidden="false" customHeight="false" outlineLevel="0" collapsed="false">
      <c r="D61" s="48" t="n">
        <f aca="false">IFERROR(__xludf.dummyfunction("""COMPUTED_VALUE"""),43596.1755605787)</f>
        <v>43596.17556</v>
      </c>
      <c r="E61" s="14" t="n">
        <f aca="false">IF(D61="","",ROW()-53)</f>
        <v>8</v>
      </c>
    </row>
    <row r="62" customFormat="false" ht="15.75" hidden="false" customHeight="false" outlineLevel="0" collapsed="false">
      <c r="D62" s="48" t="n">
        <f aca="false">IFERROR(__xludf.dummyfunction("""COMPUTED_VALUE"""),43596.1806835185)</f>
        <v>43596.18068</v>
      </c>
      <c r="E62" s="14" t="n">
        <f aca="false">IF(D62="","",ROW()-53)</f>
        <v>9</v>
      </c>
    </row>
    <row r="63" customFormat="false" ht="15.75" hidden="false" customHeight="false" outlineLevel="0" collapsed="false">
      <c r="D63" s="48" t="n">
        <f aca="false">IFERROR(__xludf.dummyfunction("""COMPUTED_VALUE"""),43596.1856780208)</f>
        <v>43596.18568</v>
      </c>
      <c r="E63" s="14" t="n">
        <f aca="false">IF(D63="","",ROW()-53)</f>
        <v>10</v>
      </c>
    </row>
    <row r="64" customFormat="false" ht="15.75" hidden="false" customHeight="false" outlineLevel="0" collapsed="false">
      <c r="D64" s="48" t="n">
        <f aca="false">IFERROR(__xludf.dummyfunction("""COMPUTED_VALUE"""),43596.1922614005)</f>
        <v>43596.19226</v>
      </c>
      <c r="E64" s="14" t="n">
        <f aca="false">IF(D64="","",ROW()-53)</f>
        <v>11</v>
      </c>
    </row>
    <row r="65" customFormat="false" ht="15.75" hidden="false" customHeight="false" outlineLevel="0" collapsed="false">
      <c r="D65" s="48" t="n">
        <f aca="false">IFERROR(__xludf.dummyfunction("""COMPUTED_VALUE"""),43596.1958165162)</f>
        <v>43596.19582</v>
      </c>
      <c r="E65" s="14" t="n">
        <f aca="false">IF(D65="","",ROW()-53)</f>
        <v>12</v>
      </c>
    </row>
    <row r="66" customFormat="false" ht="15.75" hidden="false" customHeight="false" outlineLevel="0" collapsed="false">
      <c r="D66" s="48" t="n">
        <f aca="false">IFERROR(__xludf.dummyfunction("""COMPUTED_VALUE"""),43596.1981415857)</f>
        <v>43596.19814</v>
      </c>
      <c r="E66" s="14" t="n">
        <f aca="false">IF(D66="","",ROW()-53)</f>
        <v>13</v>
      </c>
    </row>
    <row r="67" customFormat="false" ht="15.75" hidden="false" customHeight="false" outlineLevel="0" collapsed="false">
      <c r="D67" s="48" t="n">
        <f aca="false">IFERROR(__xludf.dummyfunction("""COMPUTED_VALUE"""),43596.2008947569)</f>
        <v>43596.20089</v>
      </c>
      <c r="E67" s="14" t="n">
        <f aca="false">IF(D67="","",ROW()-53)</f>
        <v>14</v>
      </c>
    </row>
    <row r="68" customFormat="false" ht="15.75" hidden="false" customHeight="false" outlineLevel="0" collapsed="false">
      <c r="D68" s="48" t="n">
        <f aca="false">IFERROR(__xludf.dummyfunction("""COMPUTED_VALUE"""),43596.203817338)</f>
        <v>43596.20382</v>
      </c>
      <c r="E68" s="14" t="n">
        <f aca="false">IF(D68="","",ROW()-53)</f>
        <v>15</v>
      </c>
    </row>
    <row r="69" customFormat="false" ht="15.75" hidden="false" customHeight="false" outlineLevel="0" collapsed="false">
      <c r="D69" s="48" t="n">
        <f aca="false">IFERROR(__xludf.dummyfunction("""COMPUTED_VALUE"""),43596.2041239468)</f>
        <v>43596.20412</v>
      </c>
      <c r="E69" s="14" t="n">
        <f aca="false">IF(D69="","",ROW()-53)</f>
        <v>16</v>
      </c>
    </row>
    <row r="70" customFormat="false" ht="15.75" hidden="false" customHeight="false" outlineLevel="0" collapsed="false">
      <c r="D70" s="48" t="n">
        <f aca="false">IFERROR(__xludf.dummyfunction("""COMPUTED_VALUE"""),43596.205749919)</f>
        <v>43596.20575</v>
      </c>
      <c r="E70" s="14" t="n">
        <f aca="false">IF(D70="","",ROW()-53)</f>
        <v>17</v>
      </c>
    </row>
    <row r="71" customFormat="false" ht="15.75" hidden="false" customHeight="false" outlineLevel="0" collapsed="false">
      <c r="D71" s="48" t="n">
        <f aca="false">IFERROR(__xludf.dummyfunction("""COMPUTED_VALUE"""),43596.2057651968)</f>
        <v>43596.20577</v>
      </c>
      <c r="E71" s="14" t="n">
        <f aca="false">IF(D71="","",ROW()-53)</f>
        <v>18</v>
      </c>
    </row>
    <row r="72" customFormat="false" ht="15.75" hidden="false" customHeight="false" outlineLevel="0" collapsed="false">
      <c r="D72" s="8" t="n">
        <f aca="false">IFERROR(__xludf.dummyfunction("""COMPUTED_VALUE"""),43596.2126971644)</f>
        <v>43596.2127</v>
      </c>
      <c r="E72" s="14" t="n">
        <f aca="false">IF(D72="","",ROW()-53)</f>
        <v>19</v>
      </c>
    </row>
    <row r="73" customFormat="false" ht="15.75" hidden="false" customHeight="false" outlineLevel="0" collapsed="false">
      <c r="D73" s="8" t="n">
        <f aca="false">IFERROR(__xludf.dummyfunction("""COMPUTED_VALUE"""),43596.2186382407)</f>
        <v>43596.21864</v>
      </c>
      <c r="E73" s="14" t="n">
        <f aca="false">IF(D73="","",ROW()-53)</f>
        <v>20</v>
      </c>
    </row>
    <row r="74" customFormat="false" ht="15.75" hidden="false" customHeight="false" outlineLevel="0" collapsed="false">
      <c r="D74" s="8" t="n">
        <f aca="false">IFERROR(__xludf.dummyfunction("""COMPUTED_VALUE"""),43596.2259928819)</f>
        <v>43596.22599</v>
      </c>
      <c r="E74" s="14" t="n">
        <f aca="false">IF(D74="","",ROW()-53)</f>
        <v>21</v>
      </c>
    </row>
    <row r="75" customFormat="false" ht="15.75" hidden="false" customHeight="false" outlineLevel="0" collapsed="false">
      <c r="D75" s="8" t="n">
        <f aca="false">IFERROR(__xludf.dummyfunction("""COMPUTED_VALUE"""),43596.2352264236)</f>
        <v>43596.23523</v>
      </c>
      <c r="E75" s="14" t="n">
        <f aca="false">IF(D75="","",ROW()-53)</f>
        <v>22</v>
      </c>
    </row>
    <row r="76" customFormat="false" ht="15.75" hidden="false" customHeight="false" outlineLevel="0" collapsed="false">
      <c r="D76" s="8" t="n">
        <f aca="false">IFERROR(__xludf.dummyfunction("""COMPUTED_VALUE"""),43596.2361986574)</f>
        <v>43596.2362</v>
      </c>
      <c r="E76" s="14" t="n">
        <f aca="false">IF(D76="","",ROW()-53)</f>
        <v>23</v>
      </c>
    </row>
    <row r="77" customFormat="false" ht="15.75" hidden="false" customHeight="false" outlineLevel="0" collapsed="false">
      <c r="D77" s="8" t="n">
        <f aca="false">IFERROR(__xludf.dummyfunction("""COMPUTED_VALUE"""),43596.2371981019)</f>
        <v>43596.2372</v>
      </c>
      <c r="E77" s="14" t="n">
        <f aca="false">IF(D77="","",ROW()-53)</f>
        <v>24</v>
      </c>
    </row>
    <row r="78" customFormat="false" ht="15.75" hidden="false" customHeight="false" outlineLevel="0" collapsed="false">
      <c r="D78" s="8" t="n">
        <f aca="false">IFERROR(__xludf.dummyfunction("""COMPUTED_VALUE"""),43596.2610309491)</f>
        <v>43596.26103</v>
      </c>
      <c r="E78" s="14" t="n">
        <f aca="false">IF(D78="","",ROW()-53)</f>
        <v>25</v>
      </c>
    </row>
    <row r="79" customFormat="false" ht="15.75" hidden="false" customHeight="false" outlineLevel="0" collapsed="false">
      <c r="D79" s="8" t="n">
        <f aca="false">IFERROR(__xludf.dummyfunction("""COMPUTED_VALUE"""),43596.278116412)</f>
        <v>43596.27812</v>
      </c>
      <c r="E79" s="14" t="n">
        <f aca="false">IF(D79="","",ROW()-53)</f>
        <v>26</v>
      </c>
    </row>
    <row r="80" customFormat="false" ht="15.75" hidden="false" customHeight="false" outlineLevel="0" collapsed="false">
      <c r="D80" s="8" t="n">
        <f aca="false">IFERROR(__xludf.dummyfunction("""COMPUTED_VALUE"""),43596.3259310301)</f>
        <v>43596.32593</v>
      </c>
      <c r="E80" s="14" t="n">
        <f aca="false">IF(D80="","",ROW()-53)</f>
        <v>27</v>
      </c>
    </row>
    <row r="81" customFormat="false" ht="15.75" hidden="false" customHeight="false" outlineLevel="0" collapsed="false">
      <c r="D81" s="8" t="n">
        <f aca="false">IFERROR(__xludf.dummyfunction("""COMPUTED_VALUE"""),43596.3269960417)</f>
        <v>43596.327</v>
      </c>
      <c r="E81" s="14" t="n">
        <f aca="false">IF(D81="","",ROW()-53)</f>
        <v>28</v>
      </c>
    </row>
    <row r="82" customFormat="false" ht="15.75" hidden="false" customHeight="false" outlineLevel="0" collapsed="false">
      <c r="D82" s="8" t="n">
        <f aca="false">IFERROR(__xludf.dummyfunction("""COMPUTED_VALUE"""),43596.3277579861)</f>
        <v>43596.32776</v>
      </c>
      <c r="E82" s="14" t="n">
        <f aca="false">IF(D82="","",ROW()-53)</f>
        <v>29</v>
      </c>
    </row>
    <row r="83" customFormat="false" ht="15.75" hidden="false" customHeight="false" outlineLevel="0" collapsed="false">
      <c r="D83" s="8" t="n">
        <f aca="false">IFERROR(__xludf.dummyfunction("""COMPUTED_VALUE"""),43596.3443009144)</f>
        <v>43596.3443</v>
      </c>
      <c r="E83" s="14" t="n">
        <f aca="false">IF(D83="","",ROW()-53)</f>
        <v>30</v>
      </c>
    </row>
    <row r="84" customFormat="false" ht="15.75" hidden="false" customHeight="false" outlineLevel="0" collapsed="false">
      <c r="D84" s="8" t="n">
        <f aca="false">IFERROR(__xludf.dummyfunction("""COMPUTED_VALUE"""),43596.356040625)</f>
        <v>43596.35604</v>
      </c>
      <c r="E84" s="14" t="n">
        <f aca="false">IF(D84="","",ROW()-53)</f>
        <v>31</v>
      </c>
    </row>
    <row r="85" customFormat="false" ht="15.75" hidden="false" customHeight="false" outlineLevel="0" collapsed="false">
      <c r="D85" s="8" t="n">
        <f aca="false">IFERROR(__xludf.dummyfunction("""COMPUTED_VALUE"""),43596.3876194097)</f>
        <v>43596.38762</v>
      </c>
      <c r="E85" s="14" t="n">
        <f aca="false">IF(D85="","",ROW()-53)</f>
        <v>32</v>
      </c>
    </row>
    <row r="86" customFormat="false" ht="15.75" hidden="false" customHeight="false" outlineLevel="0" collapsed="false">
      <c r="D86" s="8" t="n">
        <f aca="false">IFERROR(__xludf.dummyfunction("""COMPUTED_VALUE"""),43596.3886171181)</f>
        <v>43596.38862</v>
      </c>
      <c r="E86" s="14" t="n">
        <f aca="false">IF(D86="","",ROW()-53)</f>
        <v>33</v>
      </c>
    </row>
    <row r="87" customFormat="false" ht="15.75" hidden="false" customHeight="false" outlineLevel="0" collapsed="false">
      <c r="D87" s="8" t="n">
        <f aca="false">IFERROR(__xludf.dummyfunction("""COMPUTED_VALUE"""),43596.3965677083)</f>
        <v>43596.39657</v>
      </c>
      <c r="E87" s="14" t="n">
        <f aca="false">IF(D87="","",ROW()-53)</f>
        <v>34</v>
      </c>
    </row>
    <row r="88" customFormat="false" ht="15.75" hidden="false" customHeight="false" outlineLevel="0" collapsed="false">
      <c r="D88" s="8" t="n">
        <f aca="false">IFERROR(__xludf.dummyfunction("""COMPUTED_VALUE"""),43596.3974244329)</f>
        <v>43596.39742</v>
      </c>
      <c r="E88" s="14" t="n">
        <f aca="false">IF(D88="","",ROW()-53)</f>
        <v>35</v>
      </c>
    </row>
    <row r="89" customFormat="false" ht="15.75" hidden="false" customHeight="false" outlineLevel="0" collapsed="false">
      <c r="D89" s="8" t="n">
        <f aca="false">IFERROR(__xludf.dummyfunction("""COMPUTED_VALUE"""),43596.4042562963)</f>
        <v>43596.40426</v>
      </c>
      <c r="E89" s="14" t="n">
        <f aca="false">IF(D89="","",ROW()-53)</f>
        <v>36</v>
      </c>
    </row>
    <row r="90" customFormat="false" ht="15.75" hidden="false" customHeight="false" outlineLevel="0" collapsed="false">
      <c r="D90" s="8" t="n">
        <f aca="false">IFERROR(__xludf.dummyfunction("""COMPUTED_VALUE"""),43596.4054606944)</f>
        <v>43596.40546</v>
      </c>
      <c r="E90" s="14" t="n">
        <f aca="false">IF(D90="","",ROW()-53)</f>
        <v>37</v>
      </c>
    </row>
    <row r="91" customFormat="false" ht="15.75" hidden="false" customHeight="false" outlineLevel="0" collapsed="false">
      <c r="D91" s="8" t="n">
        <f aca="false">IFERROR(__xludf.dummyfunction("""COMPUTED_VALUE"""),43596.4115535417)</f>
        <v>43596.41155</v>
      </c>
      <c r="E91" s="14" t="n">
        <f aca="false">IF(D91="","",ROW()-53)</f>
        <v>38</v>
      </c>
    </row>
    <row r="92" customFormat="false" ht="15.75" hidden="false" customHeight="false" outlineLevel="0" collapsed="false">
      <c r="D92" s="8" t="n">
        <f aca="false">IFERROR(__xludf.dummyfunction("""COMPUTED_VALUE"""),43596.4176189931)</f>
        <v>43596.41762</v>
      </c>
      <c r="E92" s="14" t="n">
        <f aca="false">IF(D92="","",ROW()-53)</f>
        <v>39</v>
      </c>
    </row>
    <row r="93" customFormat="false" ht="15.75" hidden="false" customHeight="false" outlineLevel="0" collapsed="false">
      <c r="D93" s="8" t="n">
        <f aca="false">IFERROR(__xludf.dummyfunction("""COMPUTED_VALUE"""),43596.4199355324)</f>
        <v>43596.41994</v>
      </c>
      <c r="E93" s="14" t="n">
        <f aca="false">IF(D93="","",ROW()-53)</f>
        <v>40</v>
      </c>
    </row>
    <row r="94" customFormat="false" ht="15.75" hidden="false" customHeight="false" outlineLevel="0" collapsed="false">
      <c r="D94" s="8" t="n">
        <f aca="false">IFERROR(__xludf.dummyfunction("""COMPUTED_VALUE"""),43596.4222152199)</f>
        <v>43596.42222</v>
      </c>
      <c r="E94" s="14" t="n">
        <f aca="false">IF(D94="","",ROW()-53)</f>
        <v>41</v>
      </c>
    </row>
    <row r="95" customFormat="false" ht="15.75" hidden="false" customHeight="false" outlineLevel="0" collapsed="false">
      <c r="D95" s="8" t="n">
        <f aca="false">IFERROR(__xludf.dummyfunction("""COMPUTED_VALUE"""),43596.4351165046)</f>
        <v>43596.43512</v>
      </c>
      <c r="E95" s="14" t="n">
        <f aca="false">IF(D95="","",ROW()-53)</f>
        <v>42</v>
      </c>
    </row>
    <row r="96" customFormat="false" ht="15.75" hidden="false" customHeight="false" outlineLevel="0" collapsed="false">
      <c r="D96" s="8" t="n">
        <f aca="false">IFERROR(__xludf.dummyfunction("""COMPUTED_VALUE"""),43596.4437453819)</f>
        <v>43596.44375</v>
      </c>
      <c r="E96" s="14" t="n">
        <f aca="false">IF(D96="","",ROW()-53)</f>
        <v>43</v>
      </c>
    </row>
    <row r="97" customFormat="false" ht="15.75" hidden="false" customHeight="false" outlineLevel="0" collapsed="false">
      <c r="D97" s="8" t="n">
        <f aca="false">IFERROR(__xludf.dummyfunction("""COMPUTED_VALUE"""),43596.4578901852)</f>
        <v>43596.45789</v>
      </c>
      <c r="E97" s="14" t="n">
        <f aca="false">IF(D97="","",ROW()-53)</f>
        <v>44</v>
      </c>
    </row>
    <row r="98" customFormat="false" ht="15.75" hidden="false" customHeight="false" outlineLevel="0" collapsed="false">
      <c r="D98" s="8" t="n">
        <f aca="false">IFERROR(__xludf.dummyfunction("""COMPUTED_VALUE"""),43596.4968668171)</f>
        <v>43596.49687</v>
      </c>
      <c r="E98" s="14" t="n">
        <f aca="false">IF(D98="","",ROW()-53)</f>
        <v>45</v>
      </c>
    </row>
    <row r="99" customFormat="false" ht="15.75" hidden="false" customHeight="false" outlineLevel="0" collapsed="false">
      <c r="D99" s="8" t="n">
        <f aca="false">IFERROR(__xludf.dummyfunction("""COMPUTED_VALUE"""),43596.5459111343)</f>
        <v>43596.54591</v>
      </c>
      <c r="E99" s="14" t="n">
        <f aca="false">IF(D99="","",ROW()-53)</f>
        <v>46</v>
      </c>
    </row>
    <row r="100" customFormat="false" ht="15.75" hidden="false" customHeight="false" outlineLevel="0" collapsed="false">
      <c r="D100" s="8" t="n">
        <f aca="false">IFERROR(__xludf.dummyfunction("""COMPUTED_VALUE"""),43596.5477639699)</f>
        <v>43596.54776</v>
      </c>
      <c r="E100" s="14" t="n">
        <f aca="false">IF(D100="","",ROW()-53)</f>
        <v>47</v>
      </c>
    </row>
    <row r="101" customFormat="false" ht="15.75" hidden="false" customHeight="false" outlineLevel="0" collapsed="false">
      <c r="D101" s="8" t="n">
        <f aca="false">IFERROR(__xludf.dummyfunction("""COMPUTED_VALUE"""),43596.5520757407)</f>
        <v>43596.55208</v>
      </c>
      <c r="E101" s="14" t="n">
        <f aca="false">IF(D101="","",ROW()-53)</f>
        <v>48</v>
      </c>
    </row>
    <row r="102" customFormat="false" ht="15.75" hidden="false" customHeight="false" outlineLevel="0" collapsed="false">
      <c r="D102" s="8" t="n">
        <f aca="false">IFERROR(__xludf.dummyfunction("""COMPUTED_VALUE"""),43596.5526337037)</f>
        <v>43596.55263</v>
      </c>
      <c r="E102" s="14" t="n">
        <f aca="false">IF(D102="","",ROW()-53)</f>
        <v>49</v>
      </c>
    </row>
    <row r="103" customFormat="false" ht="15.75" hidden="false" customHeight="false" outlineLevel="0" collapsed="false">
      <c r="D103" s="8" t="n">
        <f aca="false">IFERROR(__xludf.dummyfunction("""COMPUTED_VALUE"""),43596.5617024074)</f>
        <v>43596.5617</v>
      </c>
      <c r="E103" s="14" t="n">
        <f aca="false">IF(D103="","",ROW()-53)</f>
        <v>50</v>
      </c>
    </row>
    <row r="104" customFormat="false" ht="15.75" hidden="false" customHeight="false" outlineLevel="0" collapsed="false">
      <c r="D104" s="8" t="n">
        <f aca="false">IFERROR(__xludf.dummyfunction("""COMPUTED_VALUE"""),43596.5840084028)</f>
        <v>43596.58401</v>
      </c>
      <c r="E104" s="14" t="n">
        <f aca="false">IF(D104="","",ROW()-53)</f>
        <v>51</v>
      </c>
    </row>
    <row r="105" customFormat="false" ht="15.75" hidden="false" customHeight="false" outlineLevel="0" collapsed="false">
      <c r="D105" s="8" t="n">
        <f aca="false">IFERROR(__xludf.dummyfunction("""COMPUTED_VALUE"""),43596.5880618982)</f>
        <v>43596.58806</v>
      </c>
      <c r="E105" s="14" t="n">
        <f aca="false">IF(D105="","",ROW()-53)</f>
        <v>52</v>
      </c>
    </row>
    <row r="106" customFormat="false" ht="15.75" hidden="false" customHeight="false" outlineLevel="0" collapsed="false">
      <c r="D106" s="8" t="n">
        <f aca="false">IFERROR(__xludf.dummyfunction("""COMPUTED_VALUE"""),43596.5989221412)</f>
        <v>43596.59892</v>
      </c>
      <c r="E106" s="14" t="n">
        <f aca="false">IF(D106="","",ROW()-53)</f>
        <v>53</v>
      </c>
    </row>
    <row r="107" customFormat="false" ht="15.75" hidden="false" customHeight="false" outlineLevel="0" collapsed="false">
      <c r="D107" s="8" t="n">
        <f aca="false">IFERROR(__xludf.dummyfunction("""COMPUTED_VALUE"""),43596.6003195255)</f>
        <v>43596.60032</v>
      </c>
      <c r="E107" s="14" t="n">
        <f aca="false">IF(D107="","",ROW()-53)</f>
        <v>54</v>
      </c>
    </row>
    <row r="108" customFormat="false" ht="15.75" hidden="false" customHeight="false" outlineLevel="0" collapsed="false">
      <c r="D108" s="8" t="n">
        <f aca="false">IFERROR(__xludf.dummyfunction("""COMPUTED_VALUE"""),43596.6011825347)</f>
        <v>43596.60118</v>
      </c>
      <c r="E108" s="14" t="n">
        <f aca="false">IF(D108="","",ROW()-53)</f>
        <v>55</v>
      </c>
    </row>
    <row r="109" customFormat="false" ht="15.75" hidden="false" customHeight="false" outlineLevel="0" collapsed="false">
      <c r="D109" s="8" t="n">
        <f aca="false">IFERROR(__xludf.dummyfunction("""COMPUTED_VALUE"""),43596.6053994676)</f>
        <v>43596.6054</v>
      </c>
      <c r="E109" s="14" t="n">
        <f aca="false">IF(D109="","",ROW()-53)</f>
        <v>56</v>
      </c>
    </row>
    <row r="110" customFormat="false" ht="15.75" hidden="false" customHeight="false" outlineLevel="0" collapsed="false">
      <c r="D110" s="8" t="n">
        <f aca="false">IFERROR(__xludf.dummyfunction("""COMPUTED_VALUE"""),43596.6080197106)</f>
        <v>43596.60802</v>
      </c>
      <c r="E110" s="14" t="n">
        <f aca="false">IF(D110="","",ROW()-53)</f>
        <v>57</v>
      </c>
    </row>
    <row r="111" customFormat="false" ht="15.75" hidden="false" customHeight="false" outlineLevel="0" collapsed="false">
      <c r="D111" s="8" t="n">
        <f aca="false">IFERROR(__xludf.dummyfunction("""COMPUTED_VALUE"""),43596.6094416898)</f>
        <v>43596.60944</v>
      </c>
      <c r="E111" s="14" t="n">
        <f aca="false">IF(D111="","",ROW()-53)</f>
        <v>58</v>
      </c>
    </row>
    <row r="112" customFormat="false" ht="15.75" hidden="false" customHeight="false" outlineLevel="0" collapsed="false">
      <c r="D112" s="8" t="n">
        <f aca="false">IFERROR(__xludf.dummyfunction("""COMPUTED_VALUE"""),43596.6201737616)</f>
        <v>43596.62017</v>
      </c>
      <c r="E112" s="14" t="n">
        <f aca="false">IF(D112="","",ROW()-53)</f>
        <v>59</v>
      </c>
    </row>
    <row r="113" customFormat="false" ht="15.75" hidden="false" customHeight="false" outlineLevel="0" collapsed="false">
      <c r="D113" s="8" t="n">
        <f aca="false">IFERROR(__xludf.dummyfunction("""COMPUTED_VALUE"""),43596.6399471759)</f>
        <v>43596.63995</v>
      </c>
      <c r="E113" s="14" t="n">
        <f aca="false">IF(D113="","",ROW()-53)</f>
        <v>60</v>
      </c>
    </row>
    <row r="114" customFormat="false" ht="15.75" hidden="false" customHeight="false" outlineLevel="0" collapsed="false">
      <c r="D114" s="8" t="n">
        <f aca="false">IFERROR(__xludf.dummyfunction("""COMPUTED_VALUE"""),43596.6440357986)</f>
        <v>43596.64404</v>
      </c>
      <c r="E114" s="14" t="n">
        <f aca="false">IF(D114="","",ROW()-53)</f>
        <v>61</v>
      </c>
    </row>
    <row r="115" customFormat="false" ht="15.75" hidden="false" customHeight="false" outlineLevel="0" collapsed="false">
      <c r="D115" s="8" t="n">
        <f aca="false">IFERROR(__xludf.dummyfunction("""COMPUTED_VALUE"""),43596.6590376389)</f>
        <v>43596.65904</v>
      </c>
      <c r="E115" s="14" t="n">
        <f aca="false">IF(D115="","",ROW()-53)</f>
        <v>62</v>
      </c>
    </row>
    <row r="116" customFormat="false" ht="15.75" hidden="false" customHeight="false" outlineLevel="0" collapsed="false">
      <c r="D116" s="8" t="n">
        <f aca="false">IFERROR(__xludf.dummyfunction("""COMPUTED_VALUE"""),43596.6632179514)</f>
        <v>43596.66322</v>
      </c>
      <c r="E116" s="14" t="n">
        <f aca="false">IF(D116="","",ROW()-53)</f>
        <v>63</v>
      </c>
    </row>
    <row r="117" customFormat="false" ht="15.75" hidden="false" customHeight="false" outlineLevel="0" collapsed="false">
      <c r="D117" s="8" t="n">
        <f aca="false">IFERROR(__xludf.dummyfunction("""COMPUTED_VALUE"""),43596.6663452778)</f>
        <v>43596.66635</v>
      </c>
      <c r="E117" s="14" t="n">
        <f aca="false">IF(D117="","",ROW()-53)</f>
        <v>64</v>
      </c>
    </row>
    <row r="118" customFormat="false" ht="15.75" hidden="false" customHeight="false" outlineLevel="0" collapsed="false">
      <c r="D118" s="8" t="n">
        <f aca="false">IFERROR(__xludf.dummyfunction("""COMPUTED_VALUE"""),43596.6732452662)</f>
        <v>43596.67325</v>
      </c>
      <c r="E118" s="14" t="n">
        <f aca="false">IF(D118="","",ROW()-53)</f>
        <v>65</v>
      </c>
    </row>
    <row r="119" customFormat="false" ht="15.75" hidden="false" customHeight="false" outlineLevel="0" collapsed="false">
      <c r="D119" s="8" t="n">
        <f aca="false">IFERROR(__xludf.dummyfunction("""COMPUTED_VALUE"""),43596.6751892361)</f>
        <v>43596.67519</v>
      </c>
      <c r="E119" s="14" t="n">
        <f aca="false">IF(D119="","",ROW()-53)</f>
        <v>66</v>
      </c>
    </row>
    <row r="120" customFormat="false" ht="15.75" hidden="false" customHeight="false" outlineLevel="0" collapsed="false">
      <c r="A120" s="8"/>
      <c r="B120" s="14" t="str">
        <f aca="false">IF(A120="","",ROW()-53)</f>
        <v/>
      </c>
      <c r="D120" s="8" t="n">
        <f aca="false">IFERROR(__xludf.dummyfunction("""COMPUTED_VALUE"""),43596.7015964236)</f>
        <v>43596.7016</v>
      </c>
      <c r="E120" s="14" t="n">
        <f aca="false">IF(D120="","",ROW()-53)</f>
        <v>67</v>
      </c>
    </row>
    <row r="121" customFormat="false" ht="15.75" hidden="false" customHeight="false" outlineLevel="0" collapsed="false">
      <c r="A121" s="8"/>
      <c r="B121" s="14" t="str">
        <f aca="false">IF(A121="","",ROW()-53)</f>
        <v/>
      </c>
      <c r="D121" s="8" t="n">
        <f aca="false">IFERROR(__xludf.dummyfunction("""COMPUTED_VALUE"""),43596.7016144907)</f>
        <v>43596.70161</v>
      </c>
      <c r="E121" s="14" t="n">
        <f aca="false">IF(D121="","",ROW()-53)</f>
        <v>68</v>
      </c>
    </row>
    <row r="122" customFormat="false" ht="15.75" hidden="false" customHeight="false" outlineLevel="0" collapsed="false">
      <c r="A122" s="8"/>
      <c r="B122" s="14" t="str">
        <f aca="false">IF(A122="","",ROW()-53)</f>
        <v/>
      </c>
      <c r="D122" s="8" t="n">
        <f aca="false">IFERROR(__xludf.dummyfunction("""COMPUTED_VALUE"""),43596.7047884838)</f>
        <v>43596.70479</v>
      </c>
      <c r="E122" s="14" t="n">
        <f aca="false">IF(D122="","",ROW()-53)</f>
        <v>69</v>
      </c>
    </row>
    <row r="123" customFormat="false" ht="15.75" hidden="false" customHeight="false" outlineLevel="0" collapsed="false">
      <c r="A123" s="8"/>
      <c r="B123" s="14" t="str">
        <f aca="false">IF(A123="","",ROW()-53)</f>
        <v/>
      </c>
      <c r="D123" s="8" t="n">
        <f aca="false">IFERROR(__xludf.dummyfunction("""COMPUTED_VALUE"""),43596.707770787)</f>
        <v>43596.70777</v>
      </c>
      <c r="E123" s="14" t="n">
        <f aca="false">IF(D123="","",ROW()-53)</f>
        <v>70</v>
      </c>
    </row>
    <row r="124" customFormat="false" ht="15.75" hidden="false" customHeight="false" outlineLevel="0" collapsed="false">
      <c r="A124" s="8"/>
      <c r="B124" s="14" t="str">
        <f aca="false">IF(A124="","",ROW()-53)</f>
        <v/>
      </c>
      <c r="D124" s="8" t="n">
        <f aca="false">IFERROR(__xludf.dummyfunction("""COMPUTED_VALUE"""),43596.7088095833)</f>
        <v>43596.70881</v>
      </c>
      <c r="E124" s="14" t="n">
        <f aca="false">IF(D124="","",ROW()-53)</f>
        <v>71</v>
      </c>
    </row>
    <row r="125" customFormat="false" ht="15.75" hidden="false" customHeight="false" outlineLevel="0" collapsed="false">
      <c r="A125" s="8"/>
      <c r="B125" s="14" t="str">
        <f aca="false">IF(A125="","",ROW()-53)</f>
        <v/>
      </c>
      <c r="D125" s="8" t="n">
        <f aca="false">IFERROR(__xludf.dummyfunction("""COMPUTED_VALUE"""),43596.7118167708)</f>
        <v>43596.71182</v>
      </c>
      <c r="E125" s="14" t="n">
        <f aca="false">IF(D125="","",ROW()-53)</f>
        <v>72</v>
      </c>
    </row>
    <row r="126" customFormat="false" ht="15.75" hidden="false" customHeight="false" outlineLevel="0" collapsed="false">
      <c r="A126" s="8"/>
      <c r="B126" s="14" t="str">
        <f aca="false">IF(A126="","",ROW()-53)</f>
        <v/>
      </c>
      <c r="D126" s="8" t="n">
        <f aca="false">IFERROR(__xludf.dummyfunction("""COMPUTED_VALUE"""),43596.7144232639)</f>
        <v>43596.71442</v>
      </c>
      <c r="E126" s="14" t="n">
        <f aca="false">IF(D126="","",ROW()-53)</f>
        <v>73</v>
      </c>
    </row>
    <row r="127" customFormat="false" ht="15.75" hidden="false" customHeight="false" outlineLevel="0" collapsed="false">
      <c r="A127" s="8"/>
      <c r="B127" s="14" t="str">
        <f aca="false">IF(A127="","",ROW()-53)</f>
        <v/>
      </c>
      <c r="D127" s="8" t="n">
        <f aca="false">IFERROR(__xludf.dummyfunction("""COMPUTED_VALUE"""),43596.7157064236)</f>
        <v>43596.71571</v>
      </c>
      <c r="E127" s="14" t="n">
        <f aca="false">IF(D127="","",ROW()-53)</f>
        <v>74</v>
      </c>
    </row>
    <row r="128" customFormat="false" ht="15.75" hidden="false" customHeight="false" outlineLevel="0" collapsed="false">
      <c r="A128" s="8"/>
      <c r="B128" s="14" t="str">
        <f aca="false">IF(A128="","",ROW()-53)</f>
        <v/>
      </c>
      <c r="D128" s="8" t="n">
        <f aca="false">IFERROR(__xludf.dummyfunction("""COMPUTED_VALUE"""),43596.7302930093)</f>
        <v>43596.73029</v>
      </c>
      <c r="E128" s="14" t="n">
        <f aca="false">IF(D128="","",ROW()-53)</f>
        <v>75</v>
      </c>
    </row>
    <row r="129" customFormat="false" ht="15.75" hidden="false" customHeight="false" outlineLevel="0" collapsed="false">
      <c r="A129" s="8"/>
      <c r="B129" s="14" t="str">
        <f aca="false">IF(A129="","",ROW()-53)</f>
        <v/>
      </c>
      <c r="D129" s="8" t="n">
        <f aca="false">IFERROR(__xludf.dummyfunction("""COMPUTED_VALUE"""),43596.7341713542)</f>
        <v>43596.73417</v>
      </c>
      <c r="E129" s="14" t="n">
        <f aca="false">IF(D129="","",ROW()-53)</f>
        <v>76</v>
      </c>
    </row>
    <row r="130" customFormat="false" ht="15.75" hidden="false" customHeight="false" outlineLevel="0" collapsed="false">
      <c r="A130" s="8"/>
      <c r="B130" s="14" t="str">
        <f aca="false">IF(A130="","",ROW()-53)</f>
        <v/>
      </c>
      <c r="D130" s="8" t="n">
        <f aca="false">IFERROR(__xludf.dummyfunction("""COMPUTED_VALUE"""),43596.7504712847)</f>
        <v>43596.75047</v>
      </c>
      <c r="E130" s="14" t="n">
        <f aca="false">IF(D130="","",ROW()-53)</f>
        <v>77</v>
      </c>
    </row>
    <row r="131" customFormat="false" ht="15.75" hidden="false" customHeight="false" outlineLevel="0" collapsed="false">
      <c r="A131" s="8"/>
      <c r="B131" s="14" t="str">
        <f aca="false">IF(A131="","",ROW()-53)</f>
        <v/>
      </c>
      <c r="D131" s="8" t="n">
        <f aca="false">IFERROR(__xludf.dummyfunction("""COMPUTED_VALUE"""),43596.7675938426)</f>
        <v>43596.76759</v>
      </c>
      <c r="E131" s="14" t="n">
        <f aca="false">IF(D131="","",ROW()-53)</f>
        <v>78</v>
      </c>
    </row>
    <row r="132" customFormat="false" ht="15.75" hidden="false" customHeight="false" outlineLevel="0" collapsed="false">
      <c r="A132" s="8"/>
      <c r="B132" s="14" t="str">
        <f aca="false">IF(A132="","",ROW()-53)</f>
        <v/>
      </c>
      <c r="D132" s="8" t="n">
        <f aca="false">IFERROR(__xludf.dummyfunction("""COMPUTED_VALUE"""),43596.7776007523)</f>
        <v>43596.7776</v>
      </c>
      <c r="E132" s="14" t="n">
        <f aca="false">IF(D132="","",ROW()-53)</f>
        <v>79</v>
      </c>
    </row>
    <row r="133" customFormat="false" ht="15.75" hidden="false" customHeight="false" outlineLevel="0" collapsed="false">
      <c r="A133" s="8"/>
      <c r="B133" s="14" t="str">
        <f aca="false">IF(A133="","",ROW()-53)</f>
        <v/>
      </c>
      <c r="D133" s="8" t="n">
        <f aca="false">IFERROR(__xludf.dummyfunction("""COMPUTED_VALUE"""),43596.8151629282)</f>
        <v>43596.81516</v>
      </c>
      <c r="E133" s="14" t="n">
        <f aca="false">IF(D133="","",ROW()-53)</f>
        <v>80</v>
      </c>
    </row>
    <row r="134" customFormat="false" ht="15.75" hidden="false" customHeight="false" outlineLevel="0" collapsed="false">
      <c r="A134" s="8"/>
      <c r="B134" s="14" t="str">
        <f aca="false">IF(A134="","",ROW()-53)</f>
        <v/>
      </c>
      <c r="D134" s="8" t="n">
        <f aca="false">IFERROR(__xludf.dummyfunction("""COMPUTED_VALUE"""),43596.8581851852)</f>
        <v>43596.85819</v>
      </c>
      <c r="E134" s="14" t="n">
        <f aca="false">IF(D134="","",ROW()-53)</f>
        <v>81</v>
      </c>
    </row>
    <row r="135" customFormat="false" ht="15.75" hidden="false" customHeight="false" outlineLevel="0" collapsed="false">
      <c r="A135" s="8"/>
      <c r="B135" s="14" t="str">
        <f aca="false">IF(A135="","",ROW()-53)</f>
        <v/>
      </c>
      <c r="D135" s="8" t="n">
        <f aca="false">IFERROR(__xludf.dummyfunction("""COMPUTED_VALUE"""),43596.8617004398)</f>
        <v>43596.8617</v>
      </c>
      <c r="E135" s="14" t="n">
        <f aca="false">IF(D135="","",ROW()-53)</f>
        <v>82</v>
      </c>
    </row>
    <row r="136" customFormat="false" ht="15.75" hidden="false" customHeight="false" outlineLevel="0" collapsed="false">
      <c r="A136" s="8"/>
      <c r="B136" s="14" t="str">
        <f aca="false">IF(A136="","",ROW()-53)</f>
        <v/>
      </c>
      <c r="D136" s="8" t="n">
        <f aca="false">IFERROR(__xludf.dummyfunction("""COMPUTED_VALUE"""),43596.8629491435)</f>
        <v>43596.86295</v>
      </c>
      <c r="E136" s="14" t="n">
        <f aca="false">IF(D136="","",ROW()-53)</f>
        <v>83</v>
      </c>
    </row>
    <row r="137" customFormat="false" ht="15.75" hidden="false" customHeight="false" outlineLevel="0" collapsed="false">
      <c r="A137" s="8"/>
      <c r="B137" s="14" t="str">
        <f aca="false">IF(A137="","",ROW()-53)</f>
        <v/>
      </c>
      <c r="D137" s="8" t="n">
        <f aca="false">IFERROR(__xludf.dummyfunction("""COMPUTED_VALUE"""),43597.1503416898)</f>
        <v>43597.15034</v>
      </c>
      <c r="E137" s="14" t="n">
        <f aca="false">IF(D137="","",ROW()-53)</f>
        <v>84</v>
      </c>
    </row>
    <row r="138" customFormat="false" ht="15.75" hidden="false" customHeight="false" outlineLevel="0" collapsed="false">
      <c r="A138" s="8"/>
      <c r="B138" s="14" t="str">
        <f aca="false">IF(A138="","",ROW()-53)</f>
        <v/>
      </c>
      <c r="D138" s="8" t="n">
        <f aca="false">IFERROR(__xludf.dummyfunction("""COMPUTED_VALUE"""),43597.1607829051)</f>
        <v>43597.16078</v>
      </c>
      <c r="E138" s="14" t="n">
        <f aca="false">IF(D138="","",ROW()-53)</f>
        <v>85</v>
      </c>
    </row>
    <row r="139" customFormat="false" ht="15.75" hidden="false" customHeight="false" outlineLevel="0" collapsed="false">
      <c r="A139" s="8"/>
      <c r="B139" s="14" t="str">
        <f aca="false">IF(A139="","",ROW()-53)</f>
        <v/>
      </c>
      <c r="D139" s="8" t="n">
        <f aca="false">IFERROR(__xludf.dummyfunction("""COMPUTED_VALUE"""),43597.1856751505)</f>
        <v>43597.18568</v>
      </c>
      <c r="E139" s="14" t="n">
        <f aca="false">IF(D139="","",ROW()-53)</f>
        <v>86</v>
      </c>
    </row>
    <row r="140" customFormat="false" ht="15.75" hidden="false" customHeight="false" outlineLevel="0" collapsed="false">
      <c r="A140" s="8"/>
      <c r="B140" s="14" t="str">
        <f aca="false">IF(A140="","",ROW()-53)</f>
        <v/>
      </c>
      <c r="D140" s="8" t="n">
        <f aca="false">IFERROR(__xludf.dummyfunction("""COMPUTED_VALUE"""),43597.1894358912)</f>
        <v>43597.18944</v>
      </c>
      <c r="E140" s="14" t="n">
        <f aca="false">IF(D140="","",ROW()-53)</f>
        <v>87</v>
      </c>
    </row>
    <row r="141" customFormat="false" ht="15.75" hidden="false" customHeight="false" outlineLevel="0" collapsed="false">
      <c r="A141" s="8"/>
      <c r="B141" s="14" t="str">
        <f aca="false">IF(A141="","",ROW()-53)</f>
        <v/>
      </c>
      <c r="D141" s="8" t="n">
        <f aca="false">IFERROR(__xludf.dummyfunction("""COMPUTED_VALUE"""),43597.2128737153)</f>
        <v>43597.21287</v>
      </c>
      <c r="E141" s="14" t="n">
        <f aca="false">IF(D141="","",ROW()-53)</f>
        <v>88</v>
      </c>
    </row>
    <row r="142" customFormat="false" ht="15.75" hidden="false" customHeight="false" outlineLevel="0" collapsed="false">
      <c r="A142" s="8"/>
      <c r="B142" s="14" t="str">
        <f aca="false">IF(A142="","",ROW()-53)</f>
        <v/>
      </c>
      <c r="D142" s="8" t="n">
        <f aca="false">IFERROR(__xludf.dummyfunction("""COMPUTED_VALUE"""),43597.2179690278)</f>
        <v>43597.21797</v>
      </c>
      <c r="E142" s="14" t="n">
        <f aca="false">IF(D142="","",ROW()-53)</f>
        <v>89</v>
      </c>
    </row>
    <row r="143" customFormat="false" ht="15.75" hidden="false" customHeight="false" outlineLevel="0" collapsed="false">
      <c r="A143" s="8"/>
      <c r="B143" s="14" t="str">
        <f aca="false">IF(A143="","",ROW()-53)</f>
        <v/>
      </c>
      <c r="D143" s="8" t="n">
        <f aca="false">IFERROR(__xludf.dummyfunction("""COMPUTED_VALUE"""),43597.2557208681)</f>
        <v>43597.25572</v>
      </c>
      <c r="E143" s="14" t="n">
        <f aca="false">IF(D143="","",ROW()-53)</f>
        <v>90</v>
      </c>
    </row>
    <row r="144" customFormat="false" ht="15.75" hidden="false" customHeight="false" outlineLevel="0" collapsed="false">
      <c r="A144" s="8"/>
      <c r="B144" s="14" t="str">
        <f aca="false">IF(A144="","",ROW()-53)</f>
        <v/>
      </c>
      <c r="D144" s="8" t="n">
        <f aca="false">IFERROR(__xludf.dummyfunction("""COMPUTED_VALUE"""),43597.2969361111)</f>
        <v>43597.29694</v>
      </c>
      <c r="E144" s="14" t="n">
        <f aca="false">IF(D144="","",ROW()-53)</f>
        <v>91</v>
      </c>
    </row>
    <row r="145" customFormat="false" ht="15.75" hidden="false" customHeight="false" outlineLevel="0" collapsed="false">
      <c r="A145" s="8"/>
      <c r="B145" s="14" t="str">
        <f aca="false">IF(A145="","",ROW()-53)</f>
        <v/>
      </c>
      <c r="D145" s="8" t="n">
        <f aca="false">IFERROR(__xludf.dummyfunction("""COMPUTED_VALUE"""),43597.3055989352)</f>
        <v>43597.3056</v>
      </c>
      <c r="E145" s="14" t="n">
        <f aca="false">IF(D145="","",ROW()-53)</f>
        <v>92</v>
      </c>
    </row>
    <row r="146" customFormat="false" ht="15.75" hidden="false" customHeight="false" outlineLevel="0" collapsed="false">
      <c r="A146" s="8"/>
      <c r="B146" s="14" t="str">
        <f aca="false">IF(A146="","",ROW()-53)</f>
        <v/>
      </c>
      <c r="D146" s="8" t="n">
        <f aca="false">IFERROR(__xludf.dummyfunction("""COMPUTED_VALUE"""),43597.3585895949)</f>
        <v>43597.35859</v>
      </c>
      <c r="E146" s="14" t="n">
        <f aca="false">IF(D146="","",ROW()-53)</f>
        <v>93</v>
      </c>
    </row>
    <row r="147" customFormat="false" ht="15.75" hidden="false" customHeight="false" outlineLevel="0" collapsed="false">
      <c r="A147" s="8"/>
      <c r="B147" s="14" t="str">
        <f aca="false">IF(A147="","",ROW()-53)</f>
        <v/>
      </c>
      <c r="D147" s="8" t="n">
        <f aca="false">IFERROR(__xludf.dummyfunction("""COMPUTED_VALUE"""),43597.3857480093)</f>
        <v>43597.38575</v>
      </c>
      <c r="E147" s="14" t="n">
        <f aca="false">IF(D147="","",ROW()-53)</f>
        <v>94</v>
      </c>
    </row>
    <row r="148" customFormat="false" ht="15.75" hidden="false" customHeight="false" outlineLevel="0" collapsed="false">
      <c r="A148" s="8"/>
      <c r="B148" s="14" t="str">
        <f aca="false">IF(A148="","",ROW()-53)</f>
        <v/>
      </c>
      <c r="D148" s="8" t="n">
        <f aca="false">IFERROR(__xludf.dummyfunction("""COMPUTED_VALUE"""),43597.4342937732)</f>
        <v>43597.43429</v>
      </c>
      <c r="E148" s="14" t="n">
        <f aca="false">IF(D148="","",ROW()-53)</f>
        <v>95</v>
      </c>
    </row>
    <row r="149" customFormat="false" ht="15.75" hidden="false" customHeight="false" outlineLevel="0" collapsed="false">
      <c r="A149" s="8"/>
      <c r="B149" s="14" t="str">
        <f aca="false">IF(A149="","",ROW()-53)</f>
        <v/>
      </c>
      <c r="D149" s="8" t="n">
        <f aca="false">IFERROR(__xludf.dummyfunction("""COMPUTED_VALUE"""),43597.4352446528)</f>
        <v>43597.43524</v>
      </c>
      <c r="E149" s="14" t="n">
        <f aca="false">IF(D149="","",ROW()-53)</f>
        <v>96</v>
      </c>
    </row>
    <row r="150" customFormat="false" ht="15.75" hidden="false" customHeight="false" outlineLevel="0" collapsed="false">
      <c r="A150" s="8"/>
      <c r="B150" s="14" t="str">
        <f aca="false">IF(A150="","",ROW()-53)</f>
        <v/>
      </c>
      <c r="D150" s="8" t="n">
        <f aca="false">IFERROR(__xludf.dummyfunction("""COMPUTED_VALUE"""),43597.4355439236)</f>
        <v>43597.43554</v>
      </c>
      <c r="E150" s="14" t="n">
        <f aca="false">IF(D150="","",ROW()-53)</f>
        <v>97</v>
      </c>
    </row>
    <row r="151" customFormat="false" ht="15.75" hidden="false" customHeight="false" outlineLevel="0" collapsed="false">
      <c r="A151" s="8"/>
      <c r="B151" s="14" t="str">
        <f aca="false">IF(A151="","",ROW()-53)</f>
        <v/>
      </c>
      <c r="D151" s="8" t="n">
        <f aca="false">IFERROR(__xludf.dummyfunction("""COMPUTED_VALUE"""),43597.4371027083)</f>
        <v>43597.4371</v>
      </c>
      <c r="E151" s="14" t="n">
        <f aca="false">IF(D151="","",ROW()-53)</f>
        <v>98</v>
      </c>
    </row>
    <row r="152" customFormat="false" ht="15.75" hidden="false" customHeight="false" outlineLevel="0" collapsed="false">
      <c r="A152" s="8"/>
      <c r="B152" s="14" t="str">
        <f aca="false">IF(A152="","",ROW()-53)</f>
        <v/>
      </c>
      <c r="D152" s="8" t="n">
        <f aca="false">IFERROR(__xludf.dummyfunction("""COMPUTED_VALUE"""),43597.4665739931)</f>
        <v>43597.46657</v>
      </c>
      <c r="E152" s="14" t="n">
        <f aca="false">IF(D152="","",ROW()-53)</f>
        <v>99</v>
      </c>
    </row>
    <row r="153" customFormat="false" ht="15.75" hidden="false" customHeight="false" outlineLevel="0" collapsed="false">
      <c r="A153" s="8"/>
      <c r="B153" s="14" t="str">
        <f aca="false">IF(A153="","",ROW()-53)</f>
        <v/>
      </c>
      <c r="D153" s="8" t="n">
        <f aca="false">IFERROR(__xludf.dummyfunction("""COMPUTED_VALUE"""),43597.4705062037)</f>
        <v>43597.47051</v>
      </c>
      <c r="E153" s="14" t="n">
        <f aca="false">IF(D153="","",ROW()-53)</f>
        <v>100</v>
      </c>
    </row>
    <row r="154" customFormat="false" ht="15.75" hidden="false" customHeight="false" outlineLevel="0" collapsed="false">
      <c r="A154" s="8"/>
      <c r="B154" s="14" t="str">
        <f aca="false">IF(A154="","",ROW()-53)</f>
        <v/>
      </c>
      <c r="D154" s="8" t="n">
        <f aca="false">IFERROR(__xludf.dummyfunction("""COMPUTED_VALUE"""),43597.5297047107)</f>
        <v>43597.5297</v>
      </c>
      <c r="E154" s="14" t="n">
        <f aca="false">IF(D154="","",ROW()-53)</f>
        <v>101</v>
      </c>
    </row>
    <row r="155" customFormat="false" ht="15.75" hidden="false" customHeight="false" outlineLevel="0" collapsed="false">
      <c r="A155" s="8"/>
      <c r="B155" s="14" t="str">
        <f aca="false">IF(A155="","",ROW()-53)</f>
        <v/>
      </c>
      <c r="D155" s="8" t="n">
        <f aca="false">IFERROR(__xludf.dummyfunction("""COMPUTED_VALUE"""),43597.5455527199)</f>
        <v>43597.54555</v>
      </c>
      <c r="E155" s="14" t="n">
        <f aca="false">IF(D155="","",ROW()-53)</f>
        <v>102</v>
      </c>
    </row>
    <row r="156" customFormat="false" ht="15.75" hidden="false" customHeight="false" outlineLevel="0" collapsed="false">
      <c r="A156" s="8"/>
      <c r="B156" s="14" t="str">
        <f aca="false">IF(A156="","",ROW()-53)</f>
        <v/>
      </c>
      <c r="D156" s="8" t="n">
        <f aca="false">IFERROR(__xludf.dummyfunction("""COMPUTED_VALUE"""),43597.5494715509)</f>
        <v>43597.54947</v>
      </c>
      <c r="E156" s="14" t="n">
        <f aca="false">IF(D156="","",ROW()-53)</f>
        <v>103</v>
      </c>
    </row>
    <row r="157" customFormat="false" ht="15.75" hidden="false" customHeight="false" outlineLevel="0" collapsed="false">
      <c r="A157" s="8"/>
      <c r="B157" s="14" t="str">
        <f aca="false">IF(A157="","",ROW()-53)</f>
        <v/>
      </c>
      <c r="D157" s="8" t="n">
        <f aca="false">IFERROR(__xludf.dummyfunction("""COMPUTED_VALUE"""),43597.5518396296)</f>
        <v>43597.55184</v>
      </c>
      <c r="E157" s="14" t="n">
        <f aca="false">IF(D157="","",ROW()-53)</f>
        <v>104</v>
      </c>
    </row>
    <row r="158" customFormat="false" ht="15.75" hidden="false" customHeight="false" outlineLevel="0" collapsed="false">
      <c r="A158" s="8"/>
      <c r="B158" s="14" t="str">
        <f aca="false">IF(A158="","",ROW()-53)</f>
        <v/>
      </c>
      <c r="D158" s="8" t="n">
        <f aca="false">IFERROR(__xludf.dummyfunction("""COMPUTED_VALUE"""),43597.5677015509)</f>
        <v>43597.5677</v>
      </c>
      <c r="E158" s="14" t="n">
        <f aca="false">IF(D158="","",ROW()-53)</f>
        <v>105</v>
      </c>
    </row>
    <row r="159" customFormat="false" ht="15.75" hidden="false" customHeight="false" outlineLevel="0" collapsed="false">
      <c r="A159" s="8"/>
      <c r="B159" s="14" t="str">
        <f aca="false">IF(A159="","",ROW()-53)</f>
        <v/>
      </c>
      <c r="D159" s="8" t="n">
        <f aca="false">IFERROR(__xludf.dummyfunction("""COMPUTED_VALUE"""),43597.5797183565)</f>
        <v>43597.57972</v>
      </c>
      <c r="E159" s="14" t="n">
        <f aca="false">IF(D159="","",ROW()-53)</f>
        <v>106</v>
      </c>
    </row>
    <row r="160" customFormat="false" ht="15.75" hidden="false" customHeight="false" outlineLevel="0" collapsed="false">
      <c r="A160" s="8"/>
      <c r="B160" s="14" t="str">
        <f aca="false">IF(A160="","",ROW()-53)</f>
        <v/>
      </c>
      <c r="D160" s="8" t="n">
        <f aca="false">IFERROR(__xludf.dummyfunction("""COMPUTED_VALUE"""),43597.6012077546)</f>
        <v>43597.60121</v>
      </c>
      <c r="E160" s="14" t="n">
        <f aca="false">IF(D160="","",ROW()-53)</f>
        <v>107</v>
      </c>
    </row>
    <row r="161" customFormat="false" ht="15.75" hidden="false" customHeight="false" outlineLevel="0" collapsed="false">
      <c r="A161" s="8"/>
      <c r="B161" s="14" t="str">
        <f aca="false">IF(A161="","",ROW()-53)</f>
        <v/>
      </c>
      <c r="D161" s="8" t="n">
        <f aca="false">IFERROR(__xludf.dummyfunction("""COMPUTED_VALUE"""),43597.6103484722)</f>
        <v>43597.61035</v>
      </c>
      <c r="E161" s="14" t="n">
        <f aca="false">IF(D161="","",ROW()-53)</f>
        <v>108</v>
      </c>
    </row>
    <row r="162" customFormat="false" ht="15.75" hidden="false" customHeight="false" outlineLevel="0" collapsed="false">
      <c r="A162" s="8"/>
      <c r="B162" s="14" t="str">
        <f aca="false">IF(A162="","",ROW()-53)</f>
        <v/>
      </c>
      <c r="D162" s="8" t="n">
        <f aca="false">IFERROR(__xludf.dummyfunction("""COMPUTED_VALUE"""),43597.6765973148)</f>
        <v>43597.6766</v>
      </c>
      <c r="E162" s="14" t="n">
        <f aca="false">IF(D162="","",ROW()-53)</f>
        <v>109</v>
      </c>
    </row>
    <row r="163" customFormat="false" ht="15.75" hidden="false" customHeight="false" outlineLevel="0" collapsed="false">
      <c r="A163" s="8"/>
      <c r="B163" s="14" t="str">
        <f aca="false">IF(A163="","",ROW()-53)</f>
        <v/>
      </c>
      <c r="D163" s="8" t="n">
        <f aca="false">IFERROR(__xludf.dummyfunction("""COMPUTED_VALUE"""),43597.6841971065)</f>
        <v>43597.6842</v>
      </c>
      <c r="E163" s="14" t="n">
        <f aca="false">IF(D163="","",ROW()-53)</f>
        <v>110</v>
      </c>
    </row>
    <row r="164" customFormat="false" ht="15.75" hidden="false" customHeight="false" outlineLevel="0" collapsed="false">
      <c r="A164" s="8"/>
      <c r="B164" s="14" t="str">
        <f aca="false">IF(A164="","",ROW()-53)</f>
        <v/>
      </c>
      <c r="D164" s="8" t="n">
        <f aca="false">IFERROR(__xludf.dummyfunction("""COMPUTED_VALUE"""),43597.7027067014)</f>
        <v>43597.70271</v>
      </c>
      <c r="E164" s="14" t="n">
        <f aca="false">IF(D164="","",ROW()-53)</f>
        <v>111</v>
      </c>
    </row>
    <row r="165" customFormat="false" ht="15.75" hidden="false" customHeight="false" outlineLevel="0" collapsed="false">
      <c r="A165" s="8"/>
      <c r="B165" s="14" t="str">
        <f aca="false">IF(A165="","",ROW()-53)</f>
        <v/>
      </c>
      <c r="D165" s="8" t="n">
        <f aca="false">IFERROR(__xludf.dummyfunction("""COMPUTED_VALUE"""),43597.7096983565)</f>
        <v>43597.7097</v>
      </c>
      <c r="E165" s="14" t="n">
        <f aca="false">IF(D165="","",ROW()-53)</f>
        <v>112</v>
      </c>
    </row>
    <row r="166" customFormat="false" ht="15.75" hidden="false" customHeight="false" outlineLevel="0" collapsed="false">
      <c r="A166" s="8"/>
      <c r="B166" s="14" t="str">
        <f aca="false">IF(A166="","",ROW()-53)</f>
        <v/>
      </c>
      <c r="D166" s="8" t="n">
        <f aca="false">IFERROR(__xludf.dummyfunction("""COMPUTED_VALUE"""),43597.7694657523)</f>
        <v>43597.76947</v>
      </c>
      <c r="E166" s="14" t="n">
        <f aca="false">IF(D166="","",ROW()-53)</f>
        <v>113</v>
      </c>
    </row>
    <row r="167" customFormat="false" ht="15.75" hidden="false" customHeight="false" outlineLevel="0" collapsed="false">
      <c r="A167" s="8"/>
      <c r="B167" s="14" t="str">
        <f aca="false">IF(A167="","",ROW()-53)</f>
        <v/>
      </c>
      <c r="D167" s="8" t="n">
        <f aca="false">IFERROR(__xludf.dummyfunction("""COMPUTED_VALUE"""),43598.1135159144)</f>
        <v>43598.11352</v>
      </c>
      <c r="E167" s="14" t="n">
        <f aca="false">IF(D167="","",ROW()-53)</f>
        <v>114</v>
      </c>
    </row>
    <row r="168" customFormat="false" ht="15.75" hidden="false" customHeight="false" outlineLevel="0" collapsed="false">
      <c r="A168" s="8"/>
      <c r="B168" s="14" t="str">
        <f aca="false">IF(A168="","",ROW()-53)</f>
        <v/>
      </c>
      <c r="D168" s="8" t="n">
        <f aca="false">IFERROR(__xludf.dummyfunction("""COMPUTED_VALUE"""),43598.1870012963)</f>
        <v>43598.187</v>
      </c>
      <c r="E168" s="14" t="n">
        <f aca="false">IF(D168="","",ROW()-53)</f>
        <v>115</v>
      </c>
    </row>
    <row r="169" customFormat="false" ht="15.75" hidden="false" customHeight="false" outlineLevel="0" collapsed="false">
      <c r="A169" s="8"/>
      <c r="B169" s="14" t="str">
        <f aca="false">IF(A169="","",ROW()-53)</f>
        <v/>
      </c>
      <c r="D169" s="8" t="n">
        <f aca="false">IFERROR(__xludf.dummyfunction("""COMPUTED_VALUE"""),43598.2027047917)</f>
        <v>43598.2027</v>
      </c>
      <c r="E169" s="14" t="n">
        <f aca="false">IF(D169="","",ROW()-53)</f>
        <v>116</v>
      </c>
    </row>
    <row r="170" customFormat="false" ht="15.75" hidden="false" customHeight="false" outlineLevel="0" collapsed="false">
      <c r="A170" s="8"/>
      <c r="B170" s="14" t="str">
        <f aca="false">IF(A170="","",ROW()-53)</f>
        <v/>
      </c>
      <c r="D170" s="8" t="n">
        <f aca="false">IFERROR(__xludf.dummyfunction("""COMPUTED_VALUE"""),43598.2061639699)</f>
        <v>43598.20616</v>
      </c>
      <c r="E170" s="14" t="n">
        <f aca="false">IF(D170="","",ROW()-53)</f>
        <v>117</v>
      </c>
    </row>
    <row r="171" customFormat="false" ht="15.75" hidden="false" customHeight="false" outlineLevel="0" collapsed="false">
      <c r="A171" s="8"/>
      <c r="B171" s="14" t="str">
        <f aca="false">IF(A171="","",ROW()-53)</f>
        <v/>
      </c>
      <c r="D171" s="8" t="n">
        <f aca="false">IFERROR(__xludf.dummyfunction("""COMPUTED_VALUE"""),43598.216451875)</f>
        <v>43598.21645</v>
      </c>
      <c r="E171" s="14" t="n">
        <f aca="false">IF(D171="","",ROW()-53)</f>
        <v>118</v>
      </c>
    </row>
    <row r="172" customFormat="false" ht="15.75" hidden="false" customHeight="false" outlineLevel="0" collapsed="false">
      <c r="A172" s="8"/>
      <c r="B172" s="14" t="str">
        <f aca="false">IF(A172="","",ROW()-53)</f>
        <v/>
      </c>
      <c r="D172" s="8" t="n">
        <f aca="false">IFERROR(__xludf.dummyfunction("""COMPUTED_VALUE"""),43598.2655257407)</f>
        <v>43598.26553</v>
      </c>
      <c r="E172" s="14" t="n">
        <f aca="false">IF(D172="","",ROW()-53)</f>
        <v>119</v>
      </c>
    </row>
    <row r="173" customFormat="false" ht="15.75" hidden="false" customHeight="false" outlineLevel="0" collapsed="false">
      <c r="A173" s="8"/>
      <c r="B173" s="14" t="str">
        <f aca="false">IF(A173="","",ROW()-53)</f>
        <v/>
      </c>
      <c r="D173" s="8" t="n">
        <f aca="false">IFERROR(__xludf.dummyfunction("""COMPUTED_VALUE"""),43598.2707503472)</f>
        <v>43598.27075</v>
      </c>
      <c r="E173" s="14" t="n">
        <f aca="false">IF(D173="","",ROW()-53)</f>
        <v>120</v>
      </c>
    </row>
    <row r="174" customFormat="false" ht="15.75" hidden="false" customHeight="false" outlineLevel="0" collapsed="false">
      <c r="A174" s="8"/>
      <c r="B174" s="14" t="str">
        <f aca="false">IF(A174="","",ROW()-53)</f>
        <v/>
      </c>
      <c r="D174" s="8" t="n">
        <f aca="false">IFERROR(__xludf.dummyfunction("""COMPUTED_VALUE"""),43598.2766578125)</f>
        <v>43598.27666</v>
      </c>
      <c r="E174" s="14" t="n">
        <f aca="false">IF(D174="","",ROW()-53)</f>
        <v>121</v>
      </c>
    </row>
    <row r="175" customFormat="false" ht="15.75" hidden="false" customHeight="false" outlineLevel="0" collapsed="false">
      <c r="A175" s="8"/>
      <c r="B175" s="14" t="str">
        <f aca="false">IF(A175="","",ROW()-53)</f>
        <v/>
      </c>
      <c r="D175" s="8" t="n">
        <f aca="false">IFERROR(__xludf.dummyfunction("""COMPUTED_VALUE"""),43598.3412225463)</f>
        <v>43598.34122</v>
      </c>
      <c r="E175" s="14" t="n">
        <f aca="false">IF(D175="","",ROW()-53)</f>
        <v>122</v>
      </c>
    </row>
    <row r="176" customFormat="false" ht="15.75" hidden="false" customHeight="false" outlineLevel="0" collapsed="false">
      <c r="A176" s="8"/>
      <c r="B176" s="14" t="str">
        <f aca="false">IF(A176="","",ROW()-53)</f>
        <v/>
      </c>
      <c r="D176" s="8" t="n">
        <f aca="false">IFERROR(__xludf.dummyfunction("""COMPUTED_VALUE"""),43598.3719916204)</f>
        <v>43598.37199</v>
      </c>
      <c r="E176" s="14" t="n">
        <f aca="false">IF(D176="","",ROW()-53)</f>
        <v>123</v>
      </c>
    </row>
    <row r="177" customFormat="false" ht="15.75" hidden="false" customHeight="false" outlineLevel="0" collapsed="false">
      <c r="A177" s="8"/>
      <c r="B177" s="14" t="str">
        <f aca="false">IF(A177="","",ROW()-53)</f>
        <v/>
      </c>
      <c r="D177" s="8" t="n">
        <f aca="false">IFERROR(__xludf.dummyfunction("""COMPUTED_VALUE"""),43598.5462109144)</f>
        <v>43598.54621</v>
      </c>
      <c r="E177" s="14" t="n">
        <f aca="false">IF(D177="","",ROW()-53)</f>
        <v>124</v>
      </c>
    </row>
    <row r="178" customFormat="false" ht="15.75" hidden="false" customHeight="false" outlineLevel="0" collapsed="false">
      <c r="A178" s="8"/>
      <c r="B178" s="14" t="str">
        <f aca="false">IF(A178="","",ROW()-53)</f>
        <v/>
      </c>
      <c r="D178" s="8" t="n">
        <f aca="false">IFERROR(__xludf.dummyfunction("""COMPUTED_VALUE"""),43598.5652813657)</f>
        <v>43598.56528</v>
      </c>
      <c r="E178" s="14" t="n">
        <f aca="false">IF(D178="","",ROW()-53)</f>
        <v>125</v>
      </c>
    </row>
    <row r="179" customFormat="false" ht="15.75" hidden="false" customHeight="false" outlineLevel="0" collapsed="false">
      <c r="A179" s="8"/>
      <c r="B179" s="14" t="str">
        <f aca="false">IF(A179="","",ROW()-53)</f>
        <v/>
      </c>
      <c r="D179" s="8" t="n">
        <f aca="false">IFERROR(__xludf.dummyfunction("""COMPUTED_VALUE"""),43598.5744978588)</f>
        <v>43598.5745</v>
      </c>
      <c r="E179" s="14" t="n">
        <f aca="false">IF(D179="","",ROW()-53)</f>
        <v>126</v>
      </c>
    </row>
    <row r="180" customFormat="false" ht="15.75" hidden="false" customHeight="false" outlineLevel="0" collapsed="false">
      <c r="A180" s="8"/>
      <c r="B180" s="14" t="str">
        <f aca="false">IF(A180="","",ROW()-53)</f>
        <v/>
      </c>
      <c r="D180" s="8" t="n">
        <f aca="false">IFERROR(__xludf.dummyfunction("""COMPUTED_VALUE"""),43598.5965546759)</f>
        <v>43598.59655</v>
      </c>
      <c r="E180" s="14" t="n">
        <f aca="false">IF(D180="","",ROW()-53)</f>
        <v>127</v>
      </c>
    </row>
    <row r="181" customFormat="false" ht="15.75" hidden="false" customHeight="false" outlineLevel="0" collapsed="false">
      <c r="A181" s="8"/>
      <c r="B181" s="14" t="str">
        <f aca="false">IF(A181="","",ROW()-53)</f>
        <v/>
      </c>
      <c r="D181" s="8" t="n">
        <f aca="false">IFERROR(__xludf.dummyfunction("""COMPUTED_VALUE"""),43598.6592248843)</f>
        <v>43598.65922</v>
      </c>
      <c r="E181" s="14" t="n">
        <f aca="false">IF(D181="","",ROW()-53)</f>
        <v>128</v>
      </c>
    </row>
    <row r="182" customFormat="false" ht="15.75" hidden="false" customHeight="false" outlineLevel="0" collapsed="false">
      <c r="A182" s="8"/>
      <c r="B182" s="14" t="str">
        <f aca="false">IF(A182="","",ROW()-53)</f>
        <v/>
      </c>
      <c r="D182" s="8" t="n">
        <f aca="false">IFERROR(__xludf.dummyfunction("""COMPUTED_VALUE"""),43598.6864558333)</f>
        <v>43598.68646</v>
      </c>
      <c r="E182" s="14" t="n">
        <f aca="false">IF(D182="","",ROW()-53)</f>
        <v>129</v>
      </c>
    </row>
    <row r="183" customFormat="false" ht="15.75" hidden="false" customHeight="false" outlineLevel="0" collapsed="false">
      <c r="A183" s="8"/>
      <c r="B183" s="14" t="str">
        <f aca="false">IF(A183="","",ROW()-53)</f>
        <v/>
      </c>
      <c r="D183" s="8" t="n">
        <f aca="false">IFERROR(__xludf.dummyfunction("""COMPUTED_VALUE"""),43598.775264375)</f>
        <v>43598.77526</v>
      </c>
      <c r="E183" s="14" t="n">
        <f aca="false">IF(D183="","",ROW()-53)</f>
        <v>130</v>
      </c>
    </row>
    <row r="184" customFormat="false" ht="15.75" hidden="false" customHeight="false" outlineLevel="0" collapsed="false">
      <c r="A184" s="8"/>
      <c r="B184" s="14" t="str">
        <f aca="false">IF(A184="","",ROW()-53)</f>
        <v/>
      </c>
      <c r="D184" s="8" t="n">
        <f aca="false">IFERROR(__xludf.dummyfunction("""COMPUTED_VALUE"""),43599.4301253819)</f>
        <v>43599.43013</v>
      </c>
      <c r="E184" s="14" t="n">
        <f aca="false">IF(D184="","",ROW()-53)</f>
        <v>131</v>
      </c>
    </row>
    <row r="185" customFormat="false" ht="15.75" hidden="false" customHeight="false" outlineLevel="0" collapsed="false">
      <c r="A185" s="8"/>
      <c r="B185" s="14" t="str">
        <f aca="false">IF(A185="","",ROW()-53)</f>
        <v/>
      </c>
      <c r="D185" s="8" t="n">
        <f aca="false">IFERROR(__xludf.dummyfunction("""COMPUTED_VALUE"""),43599.5135528241)</f>
        <v>43599.51355</v>
      </c>
      <c r="E185" s="14" t="n">
        <f aca="false">IF(D185="","",ROW()-53)</f>
        <v>132</v>
      </c>
    </row>
    <row r="186" customFormat="false" ht="15.75" hidden="false" customHeight="false" outlineLevel="0" collapsed="false">
      <c r="A186" s="8"/>
      <c r="B186" s="14" t="str">
        <f aca="false">IF(A186="","",ROW()-53)</f>
        <v/>
      </c>
      <c r="D186" s="8" t="n">
        <f aca="false">IFERROR(__xludf.dummyfunction("""COMPUTED_VALUE"""),43599.5645561111)</f>
        <v>43599.56456</v>
      </c>
      <c r="E186" s="14" t="n">
        <f aca="false">IF(D186="","",ROW()-53)</f>
        <v>133</v>
      </c>
    </row>
    <row r="187" customFormat="false" ht="15.75" hidden="false" customHeight="false" outlineLevel="0" collapsed="false">
      <c r="A187" s="8"/>
      <c r="B187" s="14" t="str">
        <f aca="false">IF(A187="","",ROW()-53)</f>
        <v/>
      </c>
      <c r="D187" s="8" t="n">
        <f aca="false">IFERROR(__xludf.dummyfunction("""COMPUTED_VALUE"""),43599.5742320949)</f>
        <v>43599.57423</v>
      </c>
      <c r="E187" s="14" t="n">
        <f aca="false">IF(D187="","",ROW()-53)</f>
        <v>134</v>
      </c>
    </row>
    <row r="188" customFormat="false" ht="15.75" hidden="false" customHeight="false" outlineLevel="0" collapsed="false">
      <c r="A188" s="8"/>
      <c r="B188" s="14" t="str">
        <f aca="false">IF(A188="","",ROW()-53)</f>
        <v/>
      </c>
      <c r="D188" s="8" t="n">
        <f aca="false">IFERROR(__xludf.dummyfunction("""COMPUTED_VALUE"""),43599.5793519097)</f>
        <v>43599.57935</v>
      </c>
      <c r="E188" s="14" t="n">
        <f aca="false">IF(D188="","",ROW()-53)</f>
        <v>135</v>
      </c>
    </row>
    <row r="189" customFormat="false" ht="15.75" hidden="false" customHeight="false" outlineLevel="0" collapsed="false">
      <c r="A189" s="8"/>
      <c r="B189" s="14" t="str">
        <f aca="false">IF(A189="","",ROW()-53)</f>
        <v/>
      </c>
      <c r="D189" s="8" t="n">
        <f aca="false">IFERROR(__xludf.dummyfunction("""COMPUTED_VALUE"""),43599.5889698495)</f>
        <v>43599.58897</v>
      </c>
      <c r="E189" s="14" t="n">
        <f aca="false">IF(D189="","",ROW()-53)</f>
        <v>136</v>
      </c>
    </row>
    <row r="190" customFormat="false" ht="15.75" hidden="false" customHeight="false" outlineLevel="0" collapsed="false">
      <c r="A190" s="8"/>
      <c r="B190" s="14" t="str">
        <f aca="false">IF(A190="","",ROW()-53)</f>
        <v/>
      </c>
      <c r="D190" s="8" t="n">
        <f aca="false">IFERROR(__xludf.dummyfunction("""COMPUTED_VALUE"""),43599.6062822685)</f>
        <v>43599.60628</v>
      </c>
      <c r="E190" s="14" t="n">
        <f aca="false">IF(D190="","",ROW()-53)</f>
        <v>137</v>
      </c>
    </row>
    <row r="191" customFormat="false" ht="15.75" hidden="false" customHeight="false" outlineLevel="0" collapsed="false">
      <c r="A191" s="8"/>
      <c r="B191" s="14" t="str">
        <f aca="false">IF(A191="","",ROW()-53)</f>
        <v/>
      </c>
      <c r="D191" s="8" t="n">
        <f aca="false">IFERROR(__xludf.dummyfunction("""COMPUTED_VALUE"""),43599.6088494444)</f>
        <v>43599.60885</v>
      </c>
      <c r="E191" s="14" t="n">
        <f aca="false">IF(D191="","",ROW()-53)</f>
        <v>138</v>
      </c>
    </row>
    <row r="192" customFormat="false" ht="15.75" hidden="false" customHeight="false" outlineLevel="0" collapsed="false">
      <c r="A192" s="8"/>
      <c r="B192" s="14" t="str">
        <f aca="false">IF(A192="","",ROW()-53)</f>
        <v/>
      </c>
      <c r="D192" s="8" t="n">
        <f aca="false">IFERROR(__xludf.dummyfunction("""COMPUTED_VALUE"""),43599.6365222222)</f>
        <v>43599.63652</v>
      </c>
      <c r="E192" s="14" t="n">
        <f aca="false">IF(D192="","",ROW()-53)</f>
        <v>139</v>
      </c>
    </row>
    <row r="193" customFormat="false" ht="15.75" hidden="false" customHeight="false" outlineLevel="0" collapsed="false">
      <c r="A193" s="8"/>
      <c r="B193" s="14" t="str">
        <f aca="false">IF(A193="","",ROW()-53)</f>
        <v/>
      </c>
      <c r="D193" s="8" t="n">
        <f aca="false">IFERROR(__xludf.dummyfunction("""COMPUTED_VALUE"""),43599.7064791898)</f>
        <v>43599.70648</v>
      </c>
      <c r="E193" s="14" t="n">
        <f aca="false">IF(D193="","",ROW()-53)</f>
        <v>140</v>
      </c>
    </row>
    <row r="194" customFormat="false" ht="15.75" hidden="false" customHeight="false" outlineLevel="0" collapsed="false">
      <c r="A194" s="8"/>
      <c r="B194" s="14" t="str">
        <f aca="false">IF(A194="","",ROW()-53)</f>
        <v/>
      </c>
      <c r="D194" s="8" t="n">
        <f aca="false">IFERROR(__xludf.dummyfunction("""COMPUTED_VALUE"""),43599.8359263194)</f>
        <v>43599.83593</v>
      </c>
      <c r="E194" s="14" t="n">
        <f aca="false">IF(D194="","",ROW()-53)</f>
        <v>141</v>
      </c>
    </row>
    <row r="195" customFormat="false" ht="15.75" hidden="false" customHeight="false" outlineLevel="0" collapsed="false">
      <c r="A195" s="8"/>
      <c r="B195" s="14" t="str">
        <f aca="false">IF(A195="","",ROW()-53)</f>
        <v/>
      </c>
      <c r="D195" s="8" t="n">
        <f aca="false">IFERROR(__xludf.dummyfunction("""COMPUTED_VALUE"""),43600.1414962269)</f>
        <v>43600.1415</v>
      </c>
      <c r="E195" s="14" t="n">
        <f aca="false">IF(D195="","",ROW()-53)</f>
        <v>142</v>
      </c>
    </row>
    <row r="196" customFormat="false" ht="15.75" hidden="false" customHeight="false" outlineLevel="0" collapsed="false">
      <c r="A196" s="8"/>
      <c r="B196" s="14" t="str">
        <f aca="false">IF(A196="","",ROW()-53)</f>
        <v/>
      </c>
      <c r="D196" s="8" t="n">
        <f aca="false">IFERROR(__xludf.dummyfunction("""COMPUTED_VALUE"""),43600.1790162269)</f>
        <v>43600.17902</v>
      </c>
      <c r="E196" s="14" t="n">
        <f aca="false">IF(D196="","",ROW()-53)</f>
        <v>143</v>
      </c>
    </row>
    <row r="197" customFormat="false" ht="15.75" hidden="false" customHeight="false" outlineLevel="0" collapsed="false">
      <c r="A197" s="8"/>
      <c r="B197" s="14" t="str">
        <f aca="false">IF(A197="","",ROW()-53)</f>
        <v/>
      </c>
      <c r="D197" s="8" t="n">
        <f aca="false">IFERROR(__xludf.dummyfunction("""COMPUTED_VALUE"""),43600.2609687384)</f>
        <v>43600.26097</v>
      </c>
      <c r="E197" s="14" t="n">
        <f aca="false">IF(D197="","",ROW()-53)</f>
        <v>144</v>
      </c>
    </row>
    <row r="198" customFormat="false" ht="15.75" hidden="false" customHeight="false" outlineLevel="0" collapsed="false">
      <c r="A198" s="8"/>
      <c r="B198" s="14" t="str">
        <f aca="false">IF(A198="","",ROW()-53)</f>
        <v/>
      </c>
      <c r="D198" s="8" t="n">
        <f aca="false">IFERROR(__xludf.dummyfunction("""COMPUTED_VALUE"""),43600.2794455556)</f>
        <v>43600.27945</v>
      </c>
      <c r="E198" s="14" t="n">
        <f aca="false">IF(D198="","",ROW()-53)</f>
        <v>145</v>
      </c>
    </row>
    <row r="199" customFormat="false" ht="15.75" hidden="false" customHeight="false" outlineLevel="0" collapsed="false">
      <c r="A199" s="8"/>
      <c r="B199" s="14" t="str">
        <f aca="false">IF(A199="","",ROW()-53)</f>
        <v/>
      </c>
      <c r="D199" s="8" t="n">
        <f aca="false">IFERROR(__xludf.dummyfunction("""COMPUTED_VALUE"""),43600.2794536111)</f>
        <v>43600.27945</v>
      </c>
      <c r="E199" s="14" t="n">
        <f aca="false">IF(D199="","",ROW()-53)</f>
        <v>146</v>
      </c>
    </row>
    <row r="200" customFormat="false" ht="15.75" hidden="false" customHeight="false" outlineLevel="0" collapsed="false">
      <c r="A200" s="8"/>
      <c r="B200" s="14" t="str">
        <f aca="false">IF(A200="","",ROW()-53)</f>
        <v/>
      </c>
      <c r="D200" s="8" t="n">
        <f aca="false">IFERROR(__xludf.dummyfunction("""COMPUTED_VALUE"""),43600.3044926505)</f>
        <v>43600.30449</v>
      </c>
      <c r="E200" s="14" t="n">
        <f aca="false">IF(D200="","",ROW()-53)</f>
        <v>147</v>
      </c>
    </row>
    <row r="201" customFormat="false" ht="15.75" hidden="false" customHeight="false" outlineLevel="0" collapsed="false">
      <c r="A201" s="8"/>
      <c r="B201" s="14" t="str">
        <f aca="false">IF(A201="","",ROW()-53)</f>
        <v/>
      </c>
      <c r="D201" s="8" t="n">
        <f aca="false">IFERROR(__xludf.dummyfunction("""COMPUTED_VALUE"""),43600.3648245602)</f>
        <v>43600.36482</v>
      </c>
      <c r="E201" s="14" t="n">
        <f aca="false">IF(D201="","",ROW()-53)</f>
        <v>148</v>
      </c>
    </row>
    <row r="202" customFormat="false" ht="15.75" hidden="false" customHeight="false" outlineLevel="0" collapsed="false">
      <c r="A202" s="8"/>
      <c r="B202" s="14" t="str">
        <f aca="false">IF(A202="","",ROW()-53)</f>
        <v/>
      </c>
      <c r="D202" s="8" t="n">
        <f aca="false">IFERROR(__xludf.dummyfunction("""COMPUTED_VALUE"""),43600.572548669)</f>
        <v>43600.57255</v>
      </c>
      <c r="E202" s="14" t="n">
        <f aca="false">IF(D202="","",ROW()-53)</f>
        <v>149</v>
      </c>
    </row>
    <row r="203" customFormat="false" ht="15.75" hidden="false" customHeight="false" outlineLevel="0" collapsed="false">
      <c r="A203" s="8"/>
      <c r="B203" s="14" t="str">
        <f aca="false">IF(A203="","",ROW()-53)</f>
        <v/>
      </c>
      <c r="D203" s="8" t="n">
        <f aca="false">IFERROR(__xludf.dummyfunction("""COMPUTED_VALUE"""),43600.5726120486)</f>
        <v>43600.57261</v>
      </c>
      <c r="E203" s="14" t="n">
        <f aca="false">IF(D203="","",ROW()-53)</f>
        <v>150</v>
      </c>
    </row>
    <row r="204" customFormat="false" ht="15.75" hidden="false" customHeight="false" outlineLevel="0" collapsed="false">
      <c r="A204" s="8"/>
      <c r="B204" s="14" t="str">
        <f aca="false">IF(A204="","",ROW()-53)</f>
        <v/>
      </c>
      <c r="D204" s="8" t="n">
        <f aca="false">IFERROR(__xludf.dummyfunction("""COMPUTED_VALUE"""),43600.5969731481)</f>
        <v>43600.59697</v>
      </c>
      <c r="E204" s="14" t="n">
        <f aca="false">IF(D204="","",ROW()-53)</f>
        <v>151</v>
      </c>
    </row>
    <row r="205" customFormat="false" ht="15.75" hidden="false" customHeight="false" outlineLevel="0" collapsed="false">
      <c r="A205" s="8"/>
      <c r="B205" s="14" t="str">
        <f aca="false">IF(A205="","",ROW()-53)</f>
        <v/>
      </c>
      <c r="D205" s="8" t="n">
        <f aca="false">IFERROR(__xludf.dummyfunction("""COMPUTED_VALUE"""),43600.6832806481)</f>
        <v>43600.68328</v>
      </c>
      <c r="E205" s="14" t="n">
        <f aca="false">IF(D205="","",ROW()-53)</f>
        <v>152</v>
      </c>
    </row>
    <row r="206" customFormat="false" ht="15.75" hidden="false" customHeight="false" outlineLevel="0" collapsed="false">
      <c r="A206" s="8"/>
      <c r="B206" s="14" t="str">
        <f aca="false">IF(A206="","",ROW()-53)</f>
        <v/>
      </c>
      <c r="D206" s="8" t="n">
        <f aca="false">IFERROR(__xludf.dummyfunction("""COMPUTED_VALUE"""),43601.0777899884)</f>
        <v>43601.07779</v>
      </c>
      <c r="E206" s="14" t="n">
        <f aca="false">IF(D206="","",ROW()-53)</f>
        <v>153</v>
      </c>
    </row>
    <row r="207" customFormat="false" ht="15.75" hidden="false" customHeight="false" outlineLevel="0" collapsed="false">
      <c r="A207" s="8"/>
      <c r="B207" s="14" t="str">
        <f aca="false">IF(A207="","",ROW()-53)</f>
        <v/>
      </c>
      <c r="D207" s="8" t="n">
        <f aca="false">IFERROR(__xludf.dummyfunction("""COMPUTED_VALUE"""),43601.0785372917)</f>
        <v>43601.07854</v>
      </c>
      <c r="E207" s="14" t="n">
        <f aca="false">IF(D207="","",ROW()-53)</f>
        <v>154</v>
      </c>
    </row>
    <row r="208" customFormat="false" ht="15.75" hidden="false" customHeight="false" outlineLevel="0" collapsed="false">
      <c r="A208" s="8"/>
      <c r="B208" s="14" t="str">
        <f aca="false">IF(A208="","",ROW()-53)</f>
        <v/>
      </c>
      <c r="D208" s="8" t="n">
        <f aca="false">IFERROR(__xludf.dummyfunction("""COMPUTED_VALUE"""),43601.1437464352)</f>
        <v>43601.14375</v>
      </c>
      <c r="E208" s="14" t="n">
        <f aca="false">IF(D208="","",ROW()-53)</f>
        <v>155</v>
      </c>
    </row>
    <row r="209" customFormat="false" ht="15.75" hidden="false" customHeight="false" outlineLevel="0" collapsed="false">
      <c r="A209" s="8"/>
      <c r="B209" s="14" t="str">
        <f aca="false">IF(A209="","",ROW()-53)</f>
        <v/>
      </c>
      <c r="D209" s="8" t="n">
        <f aca="false">IFERROR(__xludf.dummyfunction("""COMPUTED_VALUE"""),43601.2061811111)</f>
        <v>43601.20618</v>
      </c>
      <c r="E209" s="14" t="n">
        <f aca="false">IF(D209="","",ROW()-53)</f>
        <v>156</v>
      </c>
    </row>
    <row r="210" customFormat="false" ht="15.75" hidden="false" customHeight="false" outlineLevel="0" collapsed="false">
      <c r="A210" s="8"/>
      <c r="B210" s="14" t="str">
        <f aca="false">IF(A210="","",ROW()-53)</f>
        <v/>
      </c>
      <c r="D210" s="8" t="n">
        <f aca="false">IFERROR(__xludf.dummyfunction("""COMPUTED_VALUE"""),43601.3300183565)</f>
        <v>43601.33002</v>
      </c>
      <c r="E210" s="14" t="n">
        <f aca="false">IF(D210="","",ROW()-53)</f>
        <v>157</v>
      </c>
    </row>
    <row r="211" customFormat="false" ht="15.75" hidden="false" customHeight="false" outlineLevel="0" collapsed="false">
      <c r="A211" s="8"/>
      <c r="B211" s="14" t="str">
        <f aca="false">IF(A211="","",ROW()-53)</f>
        <v/>
      </c>
      <c r="D211" s="8" t="n">
        <f aca="false">IFERROR(__xludf.dummyfunction("""COMPUTED_VALUE"""),43601.4938124421)</f>
        <v>43601.49381</v>
      </c>
      <c r="E211" s="14" t="n">
        <f aca="false">IF(D211="","",ROW()-53)</f>
        <v>158</v>
      </c>
    </row>
    <row r="212" customFormat="false" ht="15.75" hidden="false" customHeight="false" outlineLevel="0" collapsed="false">
      <c r="A212" s="8"/>
      <c r="B212" s="14" t="str">
        <f aca="false">IF(A212="","",ROW()-53)</f>
        <v/>
      </c>
      <c r="D212" s="8" t="n">
        <f aca="false">IFERROR(__xludf.dummyfunction("""COMPUTED_VALUE"""),43602.1154211111)</f>
        <v>43602.11542</v>
      </c>
      <c r="E212" s="14" t="n">
        <f aca="false">IF(D212="","",ROW()-53)</f>
        <v>159</v>
      </c>
    </row>
    <row r="213" customFormat="false" ht="15.75" hidden="false" customHeight="false" outlineLevel="0" collapsed="false">
      <c r="A213" s="8"/>
      <c r="B213" s="14" t="str">
        <f aca="false">IF(A213="","",ROW()-53)</f>
        <v/>
      </c>
      <c r="D213" s="8" t="n">
        <f aca="false">IFERROR(__xludf.dummyfunction("""COMPUTED_VALUE"""),43602.3060039468)</f>
        <v>43602.306</v>
      </c>
      <c r="E213" s="14" t="n">
        <f aca="false">IF(D213="","",ROW()-53)</f>
        <v>160</v>
      </c>
    </row>
    <row r="214" customFormat="false" ht="15.75" hidden="false" customHeight="false" outlineLevel="0" collapsed="false">
      <c r="A214" s="8"/>
      <c r="B214" s="14" t="str">
        <f aca="false">IF(A214="","",ROW()-53)</f>
        <v/>
      </c>
      <c r="D214" s="8" t="n">
        <f aca="false">IFERROR(__xludf.dummyfunction("""COMPUTED_VALUE"""),43602.3512216898)</f>
        <v>43602.35122</v>
      </c>
      <c r="E214" s="14" t="n">
        <f aca="false">IF(D214="","",ROW()-53)</f>
        <v>161</v>
      </c>
    </row>
    <row r="215" customFormat="false" ht="15.75" hidden="false" customHeight="false" outlineLevel="0" collapsed="false">
      <c r="A215" s="8"/>
      <c r="B215" s="14" t="str">
        <f aca="false">IF(A215="","",ROW()-53)</f>
        <v/>
      </c>
      <c r="D215" s="8" t="n">
        <f aca="false">IFERROR(__xludf.dummyfunction("""COMPUTED_VALUE"""),43610.6774065046)</f>
        <v>43610.67741</v>
      </c>
      <c r="E215" s="14" t="n">
        <f aca="false">IF(D215="","",ROW()-53)</f>
        <v>162</v>
      </c>
    </row>
    <row r="216" customFormat="false" ht="15.75" hidden="false" customHeight="false" outlineLevel="0" collapsed="false">
      <c r="A216" s="8"/>
      <c r="B216" s="14" t="str">
        <f aca="false">IF(A216="","",ROW()-53)</f>
        <v/>
      </c>
      <c r="D216" s="8" t="n">
        <f aca="false">IFERROR(__xludf.dummyfunction("""COMPUTED_VALUE"""),43629.1541096412)</f>
        <v>43629.15411</v>
      </c>
      <c r="E216" s="14" t="n">
        <f aca="false">IF(D216="","",ROW()-53)</f>
        <v>163</v>
      </c>
    </row>
    <row r="217" customFormat="false" ht="15.75" hidden="false" customHeight="false" outlineLevel="0" collapsed="false">
      <c r="A217" s="8"/>
      <c r="B217" s="14" t="str">
        <f aca="false">IF(A217="","",ROW()-53)</f>
        <v/>
      </c>
      <c r="D217" s="8" t="n">
        <f aca="false">IFERROR(__xludf.dummyfunction("""COMPUTED_VALUE"""),43630.7192088542)</f>
        <v>43630.71921</v>
      </c>
      <c r="E217" s="14" t="n">
        <f aca="false">IF(D217="","",ROW()-53)</f>
        <v>164</v>
      </c>
    </row>
    <row r="218" customFormat="false" ht="15.75" hidden="false" customHeight="false" outlineLevel="0" collapsed="false">
      <c r="A218" s="8"/>
      <c r="B218" s="14" t="str">
        <f aca="false">IF(A218="","",ROW()-53)</f>
        <v/>
      </c>
      <c r="D218" s="8" t="n">
        <f aca="false">IFERROR(__xludf.dummyfunction("""COMPUTED_VALUE"""),43634.2082668287)</f>
        <v>43634.20827</v>
      </c>
      <c r="E218" s="14" t="n">
        <f aca="false">IF(D218="","",ROW()-53)</f>
        <v>165</v>
      </c>
    </row>
    <row r="219" customFormat="false" ht="15.75" hidden="false" customHeight="false" outlineLevel="0" collapsed="false">
      <c r="A219" s="8"/>
      <c r="B219" s="14" t="str">
        <f aca="false">IF(A219="","",ROW()-53)</f>
        <v/>
      </c>
      <c r="D219" s="8" t="n">
        <f aca="false">IFERROR(__xludf.dummyfunction("""COMPUTED_VALUE"""),43646.4232552778)</f>
        <v>43646.42326</v>
      </c>
      <c r="E219" s="14" t="n">
        <f aca="false">IF(D219="","",ROW()-53)</f>
        <v>166</v>
      </c>
    </row>
    <row r="220" customFormat="false" ht="15.75" hidden="false" customHeight="false" outlineLevel="0" collapsed="false">
      <c r="A220" s="8"/>
      <c r="D220" s="8" t="n">
        <f aca="false">IFERROR(__xludf.dummyfunction("""COMPUTED_VALUE"""),43648.2012881713)</f>
        <v>43648.20129</v>
      </c>
      <c r="E220" s="14" t="n">
        <f aca="false">IF(D220="","",ROW()-53)</f>
        <v>167</v>
      </c>
    </row>
    <row r="221" customFormat="false" ht="15.75" hidden="false" customHeight="false" outlineLevel="0" collapsed="false">
      <c r="A221" s="8"/>
      <c r="D221" s="8" t="n">
        <f aca="false">IFERROR(__xludf.dummyfunction("""COMPUTED_VALUE"""),43653.4816454977)</f>
        <v>43653.48165</v>
      </c>
      <c r="E221" s="14" t="n">
        <f aca="false">IF(D221="","",ROW()-53)</f>
        <v>168</v>
      </c>
    </row>
    <row r="222" customFormat="false" ht="15.75" hidden="false" customHeight="false" outlineLevel="0" collapsed="false">
      <c r="A222" s="8"/>
      <c r="D222" s="8" t="n">
        <f aca="false">IFERROR(__xludf.dummyfunction("""COMPUTED_VALUE"""),43653.4867433681)</f>
        <v>43653.48674</v>
      </c>
      <c r="E222" s="14" t="n">
        <f aca="false">IF(D222="","",ROW()-53)</f>
        <v>169</v>
      </c>
    </row>
    <row r="223" customFormat="false" ht="15.75" hidden="false" customHeight="false" outlineLevel="0" collapsed="false">
      <c r="A223" s="8"/>
      <c r="D223" s="8" t="n">
        <f aca="false">IFERROR(__xludf.dummyfunction("""COMPUTED_VALUE"""),43653.4914031944)</f>
        <v>43653.4914</v>
      </c>
      <c r="E223" s="14" t="n">
        <f aca="false">IF(D223="","",ROW()-53)</f>
        <v>170</v>
      </c>
    </row>
    <row r="224" customFormat="false" ht="15.75" hidden="false" customHeight="false" outlineLevel="0" collapsed="false">
      <c r="A224" s="8"/>
      <c r="D224" s="8" t="n">
        <f aca="false">IFERROR(__xludf.dummyfunction("""COMPUTED_VALUE"""),43654.2029109838)</f>
        <v>43654.20291</v>
      </c>
      <c r="E224" s="14" t="n">
        <f aca="false">IF(D224="","",ROW()-53)</f>
        <v>171</v>
      </c>
    </row>
    <row r="225" customFormat="false" ht="15.75" hidden="false" customHeight="false" outlineLevel="0" collapsed="false">
      <c r="A225" s="8"/>
      <c r="D225" s="8" t="n">
        <f aca="false">IFERROR(__xludf.dummyfunction("""COMPUTED_VALUE"""),43654.2060566088)</f>
        <v>43654.20606</v>
      </c>
      <c r="E225" s="14" t="n">
        <f aca="false">IF(D225="","",ROW()-53)</f>
        <v>172</v>
      </c>
    </row>
    <row r="226" customFormat="false" ht="15.75" hidden="false" customHeight="false" outlineLevel="0" collapsed="false">
      <c r="A226" s="8"/>
      <c r="D226" s="8" t="n">
        <f aca="false">IFERROR(__xludf.dummyfunction("""COMPUTED_VALUE"""),43654.2983382755)</f>
        <v>43654.29834</v>
      </c>
      <c r="E226" s="14" t="n">
        <f aca="false">IF(D226="","",ROW()-53)</f>
        <v>173</v>
      </c>
    </row>
    <row r="227" customFormat="false" ht="15.75" hidden="false" customHeight="false" outlineLevel="0" collapsed="false">
      <c r="A227" s="8"/>
      <c r="D227" s="8" t="n">
        <f aca="false">IFERROR(__xludf.dummyfunction("""COMPUTED_VALUE"""),43661.1131446528)</f>
        <v>43661.11314</v>
      </c>
      <c r="E227" s="14" t="n">
        <f aca="false">IF(D227="","",ROW()-53)</f>
        <v>174</v>
      </c>
    </row>
    <row r="228" customFormat="false" ht="15.75" hidden="false" customHeight="false" outlineLevel="0" collapsed="false">
      <c r="A228" s="8"/>
      <c r="D228" s="8" t="n">
        <f aca="false">IFERROR(__xludf.dummyfunction("""COMPUTED_VALUE"""),43661.3767834028)</f>
        <v>43661.37678</v>
      </c>
      <c r="E228" s="14" t="n">
        <f aca="false">IF(D228="","",ROW()-53)</f>
        <v>175</v>
      </c>
    </row>
    <row r="229" customFormat="false" ht="15.75" hidden="false" customHeight="false" outlineLevel="0" collapsed="false">
      <c r="A229" s="8"/>
      <c r="E229" s="14" t="str">
        <f aca="false">IF(D229="","",ROW()-53)</f>
        <v/>
      </c>
    </row>
    <row r="230" customFormat="false" ht="15.75" hidden="false" customHeight="false" outlineLevel="0" collapsed="false">
      <c r="A230" s="8"/>
      <c r="E230" s="14" t="str">
        <f aca="false">IF(D230="","",ROW()-53)</f>
        <v/>
      </c>
    </row>
    <row r="231" customFormat="false" ht="15.75" hidden="false" customHeight="false" outlineLevel="0" collapsed="false">
      <c r="A231" s="8"/>
      <c r="E231" s="14" t="str">
        <f aca="false">IF(D231="","",ROW()-53)</f>
        <v/>
      </c>
    </row>
    <row r="232" customFormat="false" ht="15.75" hidden="false" customHeight="false" outlineLevel="0" collapsed="false">
      <c r="A232" s="8"/>
      <c r="E232" s="14" t="str">
        <f aca="false">IF(D232="","",ROW()-53)</f>
        <v/>
      </c>
    </row>
    <row r="233" customFormat="false" ht="15.75" hidden="false" customHeight="false" outlineLevel="0" collapsed="false">
      <c r="A233" s="8"/>
      <c r="E233" s="14" t="str">
        <f aca="false">IF(D233="","",ROW()-53)</f>
        <v/>
      </c>
    </row>
    <row r="234" customFormat="false" ht="15.75" hidden="false" customHeight="false" outlineLevel="0" collapsed="false">
      <c r="A234" s="8"/>
      <c r="E234" s="14" t="str">
        <f aca="false">IF(D234="","",ROW()-53)</f>
        <v/>
      </c>
    </row>
    <row r="235" customFormat="false" ht="15.75" hidden="false" customHeight="false" outlineLevel="0" collapsed="false">
      <c r="A235" s="8"/>
      <c r="E235" s="14" t="str">
        <f aca="false">IF(D235="","",ROW()-53)</f>
        <v/>
      </c>
    </row>
    <row r="236" customFormat="false" ht="15.75" hidden="false" customHeight="false" outlineLevel="0" collapsed="false">
      <c r="A236" s="8"/>
      <c r="E236" s="14" t="str">
        <f aca="false">IF(D236="","",ROW()-53)</f>
        <v/>
      </c>
    </row>
    <row r="237" customFormat="false" ht="15.75" hidden="false" customHeight="false" outlineLevel="0" collapsed="false">
      <c r="A237" s="8"/>
      <c r="E237" s="14" t="str">
        <f aca="false">IF(D237="","",ROW()-53)</f>
        <v/>
      </c>
    </row>
    <row r="238" customFormat="false" ht="15.75" hidden="false" customHeight="false" outlineLevel="0" collapsed="false">
      <c r="A238" s="8"/>
      <c r="E238" s="14" t="str">
        <f aca="false">IF(D238="","",ROW()-53)</f>
        <v/>
      </c>
    </row>
    <row r="239" customFormat="false" ht="15.75" hidden="false" customHeight="false" outlineLevel="0" collapsed="false">
      <c r="A239" s="8"/>
      <c r="E239" s="14" t="str">
        <f aca="false">IF(D239="","",ROW()-53)</f>
        <v/>
      </c>
    </row>
    <row r="240" customFormat="false" ht="15.75" hidden="false" customHeight="false" outlineLevel="0" collapsed="false">
      <c r="A240" s="8"/>
      <c r="E240" s="14" t="str">
        <f aca="false">IF(D240="","",ROW()-53)</f>
        <v/>
      </c>
    </row>
    <row r="241" customFormat="false" ht="15.75" hidden="false" customHeight="false" outlineLevel="0" collapsed="false">
      <c r="A241" s="8"/>
      <c r="E241" s="14" t="str">
        <f aca="false">IF(D241="","",ROW()-53)</f>
        <v/>
      </c>
    </row>
    <row r="242" customFormat="false" ht="15.75" hidden="false" customHeight="false" outlineLevel="0" collapsed="false">
      <c r="A242" s="8"/>
      <c r="E242" s="14" t="str">
        <f aca="false">IF(D242="","",ROW()-53)</f>
        <v/>
      </c>
    </row>
    <row r="243" customFormat="false" ht="15.75" hidden="false" customHeight="false" outlineLevel="0" collapsed="false">
      <c r="A243" s="8"/>
      <c r="E243" s="14" t="str">
        <f aca="false">IF(D243="","",ROW()-53)</f>
        <v/>
      </c>
    </row>
    <row r="244" customFormat="false" ht="15.75" hidden="false" customHeight="false" outlineLevel="0" collapsed="false">
      <c r="A244" s="8"/>
      <c r="E244" s="14" t="str">
        <f aca="false">IF(D244="","",ROW()-53)</f>
        <v/>
      </c>
    </row>
    <row r="245" customFormat="false" ht="15.75" hidden="false" customHeight="false" outlineLevel="0" collapsed="false">
      <c r="A245" s="8"/>
      <c r="E245" s="14" t="str">
        <f aca="false">IF(D245="","",ROW()-53)</f>
        <v/>
      </c>
    </row>
    <row r="246" customFormat="false" ht="15.75" hidden="false" customHeight="false" outlineLevel="0" collapsed="false">
      <c r="A246" s="8"/>
      <c r="E246" s="14" t="str">
        <f aca="false">IF(D246="","",ROW()-53)</f>
        <v/>
      </c>
    </row>
    <row r="247" customFormat="false" ht="15.75" hidden="false" customHeight="false" outlineLevel="0" collapsed="false">
      <c r="A247" s="8"/>
      <c r="E247" s="14" t="str">
        <f aca="false">IF(D247="","",ROW()-53)</f>
        <v/>
      </c>
    </row>
    <row r="248" customFormat="false" ht="15.75" hidden="false" customHeight="false" outlineLevel="0" collapsed="false">
      <c r="A248" s="8"/>
      <c r="E248" s="14" t="str">
        <f aca="false">IF(D248="","",ROW()-53)</f>
        <v/>
      </c>
    </row>
    <row r="249" customFormat="false" ht="15.75" hidden="false" customHeight="false" outlineLevel="0" collapsed="false">
      <c r="A249" s="8"/>
      <c r="E249" s="14" t="str">
        <f aca="false">IF(D249="","",ROW()-53)</f>
        <v/>
      </c>
    </row>
    <row r="250" customFormat="false" ht="15.75" hidden="false" customHeight="false" outlineLevel="0" collapsed="false">
      <c r="A250" s="8"/>
      <c r="E250" s="14" t="str">
        <f aca="false">IF(D250="","",ROW()-53)</f>
        <v/>
      </c>
    </row>
    <row r="251" customFormat="false" ht="15.75" hidden="false" customHeight="false" outlineLevel="0" collapsed="false">
      <c r="A251" s="8"/>
      <c r="E251" s="14" t="str">
        <f aca="false">IF(D251="","",ROW()-53)</f>
        <v/>
      </c>
    </row>
    <row r="252" customFormat="false" ht="15.75" hidden="false" customHeight="false" outlineLevel="0" collapsed="false">
      <c r="A252" s="8"/>
      <c r="E252" s="14" t="str">
        <f aca="false">IF(D252="","",ROW()-53)</f>
        <v/>
      </c>
    </row>
    <row r="253" customFormat="false" ht="15.75" hidden="false" customHeight="false" outlineLevel="0" collapsed="false">
      <c r="A253" s="8"/>
      <c r="E253" s="14" t="str">
        <f aca="false">IF(D253="","",ROW()-53)</f>
        <v/>
      </c>
    </row>
    <row r="254" customFormat="false" ht="15.75" hidden="false" customHeight="false" outlineLevel="0" collapsed="false">
      <c r="A254" s="8"/>
      <c r="E254" s="14" t="str">
        <f aca="false">IF(D254="","",ROW()-53)</f>
        <v/>
      </c>
    </row>
    <row r="255" customFormat="false" ht="15.75" hidden="false" customHeight="false" outlineLevel="0" collapsed="false">
      <c r="A255" s="8"/>
    </row>
    <row r="256" customFormat="false" ht="15.75" hidden="false" customHeight="false" outlineLevel="0" collapsed="false">
      <c r="A256" s="8"/>
    </row>
    <row r="257" customFormat="false" ht="15.75" hidden="false" customHeight="false" outlineLevel="0" collapsed="false">
      <c r="A257" s="8"/>
    </row>
    <row r="258" customFormat="false" ht="15.75" hidden="false" customHeight="false" outlineLevel="0" collapsed="false">
      <c r="A258" s="8"/>
    </row>
    <row r="259" customFormat="false" ht="15.75" hidden="false" customHeight="false" outlineLevel="0" collapsed="false">
      <c r="A259" s="8"/>
    </row>
    <row r="260" customFormat="false" ht="15.75" hidden="false" customHeight="false" outlineLevel="0" collapsed="false">
      <c r="A260" s="8"/>
    </row>
    <row r="261" customFormat="false" ht="15.75" hidden="false" customHeight="false" outlineLevel="0" collapsed="false">
      <c r="A261" s="8"/>
    </row>
    <row r="262" customFormat="false" ht="15.75" hidden="false" customHeight="false" outlineLevel="0" collapsed="false">
      <c r="A262" s="8"/>
    </row>
    <row r="263" customFormat="false" ht="15.75" hidden="false" customHeight="false" outlineLevel="0" collapsed="false">
      <c r="A263" s="8"/>
    </row>
    <row r="264" customFormat="false" ht="15.75" hidden="false" customHeight="false" outlineLevel="0" collapsed="false">
      <c r="A264" s="8"/>
    </row>
    <row r="265" customFormat="false" ht="15.75" hidden="false" customHeight="false" outlineLevel="0" collapsed="false">
      <c r="A265" s="8"/>
    </row>
    <row r="266" customFormat="false" ht="15.75" hidden="false" customHeight="false" outlineLevel="0" collapsed="false">
      <c r="A266" s="8"/>
    </row>
    <row r="267" customFormat="false" ht="15.75" hidden="false" customHeight="false" outlineLevel="0" collapsed="false">
      <c r="A267" s="8"/>
    </row>
    <row r="268" customFormat="false" ht="15.75" hidden="false" customHeight="false" outlineLevel="0" collapsed="false">
      <c r="A268" s="8"/>
    </row>
    <row r="269" customFormat="false" ht="15.75" hidden="false" customHeight="false" outlineLevel="0" collapsed="false">
      <c r="A269" s="8"/>
    </row>
    <row r="270" customFormat="false" ht="15.75" hidden="false" customHeight="false" outlineLevel="0" collapsed="false">
      <c r="A270" s="8"/>
    </row>
    <row r="271" customFormat="false" ht="15.75" hidden="false" customHeight="false" outlineLevel="0" collapsed="false">
      <c r="A271" s="8"/>
    </row>
    <row r="272" customFormat="false" ht="15.75" hidden="false" customHeight="false" outlineLevel="0" collapsed="false">
      <c r="A272" s="8"/>
    </row>
    <row r="273" customFormat="false" ht="15.75" hidden="false" customHeight="false" outlineLevel="0" collapsed="false">
      <c r="A273" s="8"/>
    </row>
  </sheetData>
  <mergeCells count="1">
    <mergeCell ref="D50:H50"/>
  </mergeCells>
  <dataValidations count="3">
    <dataValidation allowBlank="true" errorStyle="stop" operator="between" showDropDown="false" showErrorMessage="false" showInputMessage="false" sqref="I52" type="list">
      <formula1>"Да,Нет"</formula1>
      <formula2>0</formula2>
    </dataValidation>
    <dataValidation allowBlank="true" errorStyle="stop" operator="between" showDropDown="false" showErrorMessage="false" showInputMessage="false" sqref="E52" type="list">
      <formula1>"7,8,9,10,11"</formula1>
      <formula2>0</formula2>
    </dataValidation>
    <dataValidation allowBlank="true" errorStyle="stop" operator="between" showDropDown="false" showErrorMessage="false" showInputMessage="false" sqref="G52" type="list">
      <formula1>Списки!$AJ$3:$AJ$37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775</v>
      </c>
      <c r="H1" s="0" t="s">
        <v>7</v>
      </c>
      <c r="I1" s="0" t="s">
        <v>817</v>
      </c>
      <c r="J1" s="0" t="s">
        <v>818</v>
      </c>
      <c r="K1" s="0" t="s">
        <v>776</v>
      </c>
      <c r="L1" s="0" t="s">
        <v>778</v>
      </c>
      <c r="M1" s="0" t="s">
        <v>777</v>
      </c>
      <c r="N1" s="0" t="s">
        <v>779</v>
      </c>
      <c r="O1" s="0" t="s">
        <v>819</v>
      </c>
      <c r="P1" s="0" t="s">
        <v>820</v>
      </c>
      <c r="Q1" s="0" t="n">
        <v>5</v>
      </c>
      <c r="R1" s="0" t="n">
        <v>6</v>
      </c>
      <c r="S1" s="0" t="n">
        <v>9</v>
      </c>
      <c r="T1" s="0" t="n">
        <v>10</v>
      </c>
      <c r="U1" s="0" t="n">
        <v>11</v>
      </c>
      <c r="V1" s="0" t="n">
        <v>12</v>
      </c>
      <c r="W1" s="0" t="n">
        <v>13</v>
      </c>
      <c r="X1" s="0" t="n">
        <v>16</v>
      </c>
      <c r="Y1" s="0" t="n">
        <v>17</v>
      </c>
      <c r="Z1" s="0" t="n">
        <v>18</v>
      </c>
    </row>
    <row r="2" customFormat="false" ht="15.75" hidden="false" customHeight="false" outlineLevel="0" collapsed="false">
      <c r="A2" s="0" t="n">
        <v>43219.7789290972</v>
      </c>
      <c r="B2" s="0" t="s">
        <v>821</v>
      </c>
      <c r="C2" s="0" t="s">
        <v>822</v>
      </c>
      <c r="D2" s="0" t="n">
        <v>8</v>
      </c>
      <c r="E2" s="0" t="n">
        <v>98</v>
      </c>
      <c r="G2" s="0" t="s">
        <v>823</v>
      </c>
      <c r="H2" s="0" t="s">
        <v>824</v>
      </c>
      <c r="I2" s="0" t="s">
        <v>825</v>
      </c>
      <c r="J2" s="0" t="s">
        <v>826</v>
      </c>
      <c r="K2" s="0" t="s">
        <v>827</v>
      </c>
      <c r="L2" s="0" t="e">
        <f aca="false" t="array" ref="L2:L2">IF(D2&lt;10, IF(COUNTIF(concat(TRIM('Переформатированный ответ'!$B$2:$B$200),TRIM('Переформатированный ответ'!$C$2:$C$200)),concat(TRIM(B2),TRIM(C2))) &gt; 0,"Есть","Нет"),"")</f>
        <v>#NAME?</v>
      </c>
      <c r="M2" s="0" t="n">
        <v>2</v>
      </c>
      <c r="O2" s="0" t="s">
        <v>825</v>
      </c>
      <c r="Q2" s="0" t="n">
        <v>1</v>
      </c>
      <c r="R2" s="0" t="n">
        <v>0</v>
      </c>
      <c r="S2" s="0" t="n">
        <v>0</v>
      </c>
      <c r="T2" s="0" t="n">
        <v>1</v>
      </c>
      <c r="U2" s="0" t="n">
        <v>1</v>
      </c>
    </row>
    <row r="3" customFormat="false" ht="15.75" hidden="false" customHeight="false" outlineLevel="0" collapsed="false">
      <c r="A3" s="0" t="n">
        <v>43219.7819177083</v>
      </c>
      <c r="B3" s="0" t="s">
        <v>828</v>
      </c>
      <c r="C3" s="0" t="s">
        <v>829</v>
      </c>
      <c r="D3" s="0" t="n">
        <v>10</v>
      </c>
      <c r="E3" s="0" t="n">
        <v>117</v>
      </c>
      <c r="F3" s="0" t="s">
        <v>830</v>
      </c>
      <c r="G3" s="0" t="s">
        <v>831</v>
      </c>
      <c r="H3" s="0" t="s">
        <v>832</v>
      </c>
      <c r="I3" s="0" t="s">
        <v>833</v>
      </c>
      <c r="J3" s="0" t="s">
        <v>834</v>
      </c>
      <c r="K3" s="0" t="s">
        <v>827</v>
      </c>
      <c r="L3" s="0" t="str">
        <f aca="false" t="array" ref="L3:L3">IF(D3&lt;10, IF(COUNTIF(concat(TRIM('Переформатированный ответ'!$B$2:$B$200),TRIM('Переформатированный ответ'!$C$2:$C$200)),concat(TRIM(B3),TRIM(C3))) &gt; 0,"Есть","Нет"),"")</f>
        <v/>
      </c>
      <c r="M3" s="0" t="n">
        <v>2</v>
      </c>
      <c r="O3" s="0" t="s">
        <v>826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</row>
    <row r="4" customFormat="false" ht="15.75" hidden="false" customHeight="false" outlineLevel="0" collapsed="false">
      <c r="A4" s="0" t="n">
        <v>43219.7832667245</v>
      </c>
      <c r="B4" s="0" t="s">
        <v>835</v>
      </c>
      <c r="C4" s="0" t="s">
        <v>618</v>
      </c>
      <c r="D4" s="0" t="n">
        <v>9</v>
      </c>
      <c r="E4" s="0" t="n">
        <v>117</v>
      </c>
      <c r="G4" s="0" t="s">
        <v>836</v>
      </c>
      <c r="H4" s="0" t="s">
        <v>837</v>
      </c>
      <c r="I4" s="0" t="s">
        <v>838</v>
      </c>
      <c r="J4" s="0" t="s">
        <v>834</v>
      </c>
      <c r="K4" s="0" t="s">
        <v>827</v>
      </c>
      <c r="L4" s="0" t="e">
        <f aca="false" t="array" ref="L4:L4">IF(D4&lt;10, IF(COUNTIF(concat(TRIM('Переформатированный ответ'!$B$2:$B$200),TRIM('Переформатированный ответ'!$C$2:$C$200)),concat(TRIM(B4),TRIM(C4))) &gt; 0,"Есть","Нет"),"")</f>
        <v>#NAME?</v>
      </c>
      <c r="M4" s="0" t="n">
        <v>2</v>
      </c>
      <c r="O4" s="0" t="s">
        <v>838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</row>
    <row r="5" customFormat="false" ht="15.75" hidden="false" customHeight="false" outlineLevel="0" collapsed="false">
      <c r="A5" s="0" t="n">
        <v>43219.7867265278</v>
      </c>
      <c r="B5" s="0" t="s">
        <v>839</v>
      </c>
      <c r="C5" s="0" t="s">
        <v>427</v>
      </c>
      <c r="D5" s="0" t="n">
        <v>10</v>
      </c>
      <c r="E5" s="0" t="n">
        <v>117</v>
      </c>
      <c r="G5" s="0" t="s">
        <v>840</v>
      </c>
      <c r="H5" s="0" t="s">
        <v>841</v>
      </c>
      <c r="I5" s="0" t="s">
        <v>826</v>
      </c>
      <c r="J5" s="0" t="s">
        <v>833</v>
      </c>
      <c r="K5" s="0" t="s">
        <v>827</v>
      </c>
      <c r="L5" s="0" t="str">
        <f aca="false" t="array" ref="L5:L5">IF(D5&lt;10, IF(COUNTIF(concat(TRIM('Переформатированный ответ'!$B$2:$B$200),TRIM('Переформатированный ответ'!$C$2:$C$200)),concat(TRIM(B5),TRIM(C5))) &gt; 0,"Есть","Нет"),"")</f>
        <v/>
      </c>
      <c r="M5" s="0" t="n">
        <v>2</v>
      </c>
      <c r="O5" s="0" t="s">
        <v>826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</row>
    <row r="6" customFormat="false" ht="15.75" hidden="false" customHeight="false" outlineLevel="0" collapsed="false">
      <c r="A6" s="0" t="n">
        <v>43219.7883524653</v>
      </c>
      <c r="B6" s="0" t="s">
        <v>842</v>
      </c>
      <c r="C6" s="0" t="s">
        <v>843</v>
      </c>
      <c r="D6" s="0" t="n">
        <v>9</v>
      </c>
      <c r="E6" s="0" t="n">
        <v>117</v>
      </c>
      <c r="G6" s="0" t="s">
        <v>844</v>
      </c>
      <c r="H6" s="0" t="s">
        <v>845</v>
      </c>
      <c r="I6" s="0" t="s">
        <v>846</v>
      </c>
      <c r="J6" s="0" t="s">
        <v>834</v>
      </c>
      <c r="K6" s="0" t="s">
        <v>39</v>
      </c>
      <c r="L6" s="0" t="e">
        <f aca="false" t="array" ref="L6:L6">IF(D6&lt;10, IF(COUNTIF(concat(TRIM('Переформатированный ответ'!$B$2:$B$200),TRIM('Переформатированный ответ'!$C$2:$C$200)),concat(TRIM(B6),TRIM(C6))) &gt; 0,"Есть","Нет"),"")</f>
        <v>#NAME?</v>
      </c>
      <c r="M6" s="0" t="n">
        <v>2</v>
      </c>
      <c r="O6" s="0" t="s">
        <v>846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.75" hidden="false" customHeight="false" outlineLevel="0" collapsed="false">
      <c r="A7" s="0" t="n">
        <v>43219.7887197569</v>
      </c>
      <c r="B7" s="0" t="s">
        <v>847</v>
      </c>
      <c r="C7" s="0" t="s">
        <v>112</v>
      </c>
      <c r="D7" s="0" t="n">
        <v>9</v>
      </c>
      <c r="E7" s="0" t="n">
        <v>51</v>
      </c>
      <c r="G7" s="0" t="s">
        <v>39</v>
      </c>
      <c r="H7" s="0" t="s">
        <v>114</v>
      </c>
      <c r="I7" s="0" t="s">
        <v>838</v>
      </c>
      <c r="J7" s="0" t="s">
        <v>848</v>
      </c>
      <c r="K7" s="0" t="s">
        <v>39</v>
      </c>
      <c r="L7" s="0" t="e">
        <f aca="false" t="array" ref="L7:L7">IF(D7&lt;10, IF(COUNTIF(concat(TRIM('Переформатированный ответ'!$B$2:$B$200),TRIM('Переформатированный ответ'!$C$2:$C$200)),concat(TRIM(B7),TRIM(C7))) &gt; 0,"Есть","Нет"),"")</f>
        <v>#NAME?</v>
      </c>
      <c r="M7" s="0" t="n">
        <v>2</v>
      </c>
      <c r="O7" s="0" t="s">
        <v>838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1</v>
      </c>
    </row>
    <row r="8" customFormat="false" ht="15.75" hidden="false" customHeight="false" outlineLevel="0" collapsed="false">
      <c r="A8" s="0" t="n">
        <v>43219.7911865509</v>
      </c>
      <c r="B8" s="0" t="s">
        <v>595</v>
      </c>
      <c r="C8" s="0" t="s">
        <v>596</v>
      </c>
      <c r="D8" s="0" t="n">
        <v>8</v>
      </c>
      <c r="E8" s="0" t="n">
        <v>117</v>
      </c>
      <c r="G8" s="0" t="s">
        <v>849</v>
      </c>
      <c r="H8" s="0" t="s">
        <v>598</v>
      </c>
      <c r="I8" s="0" t="s">
        <v>826</v>
      </c>
      <c r="J8" s="0" t="s">
        <v>850</v>
      </c>
      <c r="K8" s="0" t="s">
        <v>827</v>
      </c>
      <c r="L8" s="0" t="e">
        <f aca="false" t="array" ref="L8:L8">IF(D8&lt;10, IF(COUNTIF(concat(TRIM('Переформатированный ответ'!$B$2:$B$200),TRIM('Переформатированный ответ'!$C$2:$C$200)),concat(TRIM(B8),TRIM(C8))) &gt; 0,"Есть","Нет"),"")</f>
        <v>#NAME?</v>
      </c>
      <c r="M8" s="0" t="n">
        <v>2</v>
      </c>
      <c r="N8" s="0" t="s">
        <v>781</v>
      </c>
      <c r="O8" s="0" t="s">
        <v>851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.75" hidden="false" customHeight="false" outlineLevel="0" collapsed="false">
      <c r="A9" s="0" t="n">
        <v>43219.7930036806</v>
      </c>
      <c r="B9" s="0" t="s">
        <v>852</v>
      </c>
      <c r="C9" s="0" t="s">
        <v>853</v>
      </c>
      <c r="D9" s="0" t="n">
        <v>10</v>
      </c>
      <c r="E9" s="0" t="n">
        <v>149</v>
      </c>
      <c r="G9" s="0" t="s">
        <v>854</v>
      </c>
      <c r="H9" s="0" t="s">
        <v>855</v>
      </c>
      <c r="I9" s="0" t="s">
        <v>838</v>
      </c>
      <c r="J9" s="0" t="s">
        <v>834</v>
      </c>
      <c r="K9" s="0" t="s">
        <v>827</v>
      </c>
      <c r="L9" s="0" t="str">
        <f aca="false" t="array" ref="L9:L9">IF(D9&lt;10, IF(COUNTIF(concat(TRIM('Переформатированный ответ'!$B$2:$B$200),TRIM('Переформатированный ответ'!$C$2:$C$200)),concat(TRIM(B9),TRIM(C9))) &gt; 0,"Есть","Нет"),"")</f>
        <v/>
      </c>
      <c r="M9" s="0" t="n">
        <v>2</v>
      </c>
      <c r="O9" s="0" t="s">
        <v>838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</row>
    <row r="10" customFormat="false" ht="15.75" hidden="false" customHeight="false" outlineLevel="0" collapsed="false">
      <c r="A10" s="0" t="n">
        <v>43219.7934564005</v>
      </c>
      <c r="B10" s="0" t="s">
        <v>856</v>
      </c>
      <c r="C10" s="0" t="s">
        <v>217</v>
      </c>
      <c r="D10" s="0" t="n">
        <v>11</v>
      </c>
      <c r="E10" s="0" t="n">
        <v>117</v>
      </c>
      <c r="G10" s="0" t="s">
        <v>857</v>
      </c>
      <c r="H10" s="0" t="s">
        <v>858</v>
      </c>
      <c r="I10" s="0" t="s">
        <v>57</v>
      </c>
      <c r="J10" s="0" t="s">
        <v>850</v>
      </c>
      <c r="K10" s="0" t="s">
        <v>827</v>
      </c>
      <c r="L10" s="0" t="str">
        <f aca="false" t="array" ref="L10:L10">IF(D10&lt;10, IF(COUNTIF(concat(TRIM('Переформатированный ответ'!$B$2:$B$200),TRIM('Переформатированный ответ'!$C$2:$C$200)),concat(TRIM(B10),TRIM(C10))) &gt; 0,"Есть","Нет"),"")</f>
        <v/>
      </c>
      <c r="M10" s="0" t="n">
        <v>1</v>
      </c>
      <c r="O10" s="0" t="s">
        <v>57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</row>
    <row r="11" customFormat="false" ht="15.75" hidden="false" customHeight="false" outlineLevel="0" collapsed="false">
      <c r="A11" s="0" t="n">
        <v>43219.7944161574</v>
      </c>
      <c r="B11" s="0" t="s">
        <v>439</v>
      </c>
      <c r="C11" s="0" t="s">
        <v>117</v>
      </c>
      <c r="D11" s="0" t="n">
        <v>9</v>
      </c>
      <c r="E11" s="0" t="n">
        <v>117</v>
      </c>
      <c r="F11" s="0" t="s">
        <v>859</v>
      </c>
      <c r="G11" s="0" t="s">
        <v>441</v>
      </c>
      <c r="I11" s="0" t="s">
        <v>825</v>
      </c>
      <c r="J11" s="0" t="s">
        <v>860</v>
      </c>
      <c r="K11" s="0" t="s">
        <v>39</v>
      </c>
      <c r="L11" s="0" t="e">
        <f aca="false" t="array" ref="L11:L11">IF(D11&lt;10, IF(COUNTIF(concat(TRIM('Переформатированный ответ'!$B$2:$B$200),TRIM('Переформатированный ответ'!$C$2:$C$200)),concat(TRIM(B11),TRIM(C11))) &gt; 0,"Есть","Нет"),"")</f>
        <v>#NAME?</v>
      </c>
      <c r="M11" s="0" t="n">
        <v>2</v>
      </c>
      <c r="O11" s="0" t="s">
        <v>825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0</v>
      </c>
    </row>
    <row r="12" customFormat="false" ht="15.75" hidden="false" customHeight="false" outlineLevel="0" collapsed="false">
      <c r="A12" s="0" t="n">
        <v>43219.7961436458</v>
      </c>
      <c r="B12" s="0" t="s">
        <v>861</v>
      </c>
      <c r="C12" s="0" t="s">
        <v>862</v>
      </c>
      <c r="D12" s="0" t="n">
        <v>9</v>
      </c>
      <c r="E12" s="0" t="n">
        <v>117</v>
      </c>
      <c r="G12" s="0" t="s">
        <v>863</v>
      </c>
      <c r="H12" s="0" t="s">
        <v>864</v>
      </c>
      <c r="I12" s="0" t="s">
        <v>865</v>
      </c>
      <c r="J12" s="0" t="s">
        <v>848</v>
      </c>
      <c r="K12" s="0" t="s">
        <v>39</v>
      </c>
      <c r="L12" s="0" t="e">
        <f aca="false" t="array" ref="L12:L12">IF(D12&lt;10, IF(COUNTIF(concat(TRIM('Переформатированный ответ'!$B$2:$B$200),TRIM('Переформатированный ответ'!$C$2:$C$200)),concat(TRIM(B12),TRIM(C12))) &gt; 0,"Есть","Нет"),"")</f>
        <v>#NAME?</v>
      </c>
      <c r="M12" s="0" t="n">
        <v>2</v>
      </c>
      <c r="O12" s="0" t="s">
        <v>865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</v>
      </c>
    </row>
    <row r="13" customFormat="false" ht="15.75" hidden="false" customHeight="false" outlineLevel="0" collapsed="false">
      <c r="A13" s="0" t="n">
        <v>43219.7964826852</v>
      </c>
      <c r="B13" s="0" t="s">
        <v>866</v>
      </c>
      <c r="C13" s="0" t="s">
        <v>200</v>
      </c>
      <c r="D13" s="0" t="n">
        <v>8</v>
      </c>
      <c r="E13" s="0" t="n">
        <v>117</v>
      </c>
      <c r="F13" s="0" t="s">
        <v>867</v>
      </c>
      <c r="G13" s="0" t="s">
        <v>39</v>
      </c>
      <c r="H13" s="0" t="s">
        <v>868</v>
      </c>
      <c r="I13" s="0" t="s">
        <v>825</v>
      </c>
      <c r="J13" s="0" t="s">
        <v>826</v>
      </c>
      <c r="K13" s="0" t="s">
        <v>827</v>
      </c>
      <c r="L13" s="0" t="e">
        <f aca="false" t="array" ref="L13:L13">IF(D13&lt;10, IF(COUNTIF(concat(TRIM('Переформатированный ответ'!$B$2:$B$200),TRIM('Переформатированный ответ'!$C$2:$C$200)),concat(TRIM(B13),TRIM(C13))) &gt; 0,"Есть","Нет"),"")</f>
        <v>#NAME?</v>
      </c>
      <c r="M13" s="0" t="n">
        <v>2</v>
      </c>
      <c r="O13" s="0" t="s">
        <v>825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</v>
      </c>
    </row>
    <row r="14" customFormat="false" ht="15.75" hidden="false" customHeight="false" outlineLevel="0" collapsed="false">
      <c r="A14" s="0" t="n">
        <v>43219.7965105671</v>
      </c>
      <c r="B14" s="0" t="s">
        <v>157</v>
      </c>
      <c r="C14" s="0" t="s">
        <v>117</v>
      </c>
      <c r="D14" s="0" t="n">
        <v>9</v>
      </c>
      <c r="E14" s="0" t="n">
        <v>117</v>
      </c>
      <c r="G14" s="0" t="s">
        <v>869</v>
      </c>
      <c r="H14" s="0" t="s">
        <v>162</v>
      </c>
      <c r="I14" s="0" t="s">
        <v>130</v>
      </c>
      <c r="J14" s="0" t="s">
        <v>870</v>
      </c>
      <c r="K14" s="0" t="s">
        <v>827</v>
      </c>
      <c r="L14" s="0" t="e">
        <f aca="false" t="array" ref="L14:L14">IF(D14&lt;10, IF(COUNTIF(concat(TRIM('Переформатированный ответ'!$B$2:$B$200),TRIM('Переформатированный ответ'!$C$2:$C$200)),concat(TRIM(B14),TRIM(C14))) &gt; 0,"Есть","Нет"),"")</f>
        <v>#NAME?</v>
      </c>
      <c r="M14" s="0" t="n">
        <v>2</v>
      </c>
      <c r="O14" s="0" t="s">
        <v>130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</row>
    <row r="15" customFormat="false" ht="15.75" hidden="false" customHeight="false" outlineLevel="0" collapsed="false">
      <c r="A15" s="0" t="n">
        <v>43219.803508287</v>
      </c>
      <c r="B15" s="0" t="s">
        <v>871</v>
      </c>
      <c r="C15" s="0" t="s">
        <v>230</v>
      </c>
      <c r="D15" s="0" t="n">
        <v>8</v>
      </c>
      <c r="E15" s="0" t="n">
        <v>117</v>
      </c>
      <c r="F15" s="0" t="s">
        <v>872</v>
      </c>
      <c r="G15" s="0" t="s">
        <v>873</v>
      </c>
      <c r="H15" s="0" t="s">
        <v>874</v>
      </c>
      <c r="I15" s="0" t="s">
        <v>825</v>
      </c>
      <c r="J15" s="0" t="s">
        <v>860</v>
      </c>
      <c r="K15" s="0" t="s">
        <v>827</v>
      </c>
      <c r="L15" s="0" t="e">
        <f aca="false" t="array" ref="L15:L15">IF(D15&lt;10, IF(COUNTIF(concat(TRIM('Переформатированный ответ'!$B$2:$B$200),TRIM('Переформатированный ответ'!$C$2:$C$200)),concat(TRIM(B15),TRIM(C15))) &gt; 0,"Есть","Нет"),"")</f>
        <v>#NAME?</v>
      </c>
      <c r="M15" s="0" t="n">
        <v>2</v>
      </c>
      <c r="O15" s="0" t="s">
        <v>825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5.75" hidden="false" customHeight="false" outlineLevel="0" collapsed="false">
      <c r="A16" s="0" t="n">
        <v>43219.8043655903</v>
      </c>
      <c r="B16" s="0" t="s">
        <v>875</v>
      </c>
      <c r="C16" s="0" t="s">
        <v>876</v>
      </c>
      <c r="D16" s="0" t="n">
        <v>11</v>
      </c>
      <c r="E16" s="0" t="n">
        <v>34</v>
      </c>
      <c r="G16" s="0" t="s">
        <v>104</v>
      </c>
      <c r="H16" s="0" t="s">
        <v>877</v>
      </c>
      <c r="I16" s="0" t="s">
        <v>130</v>
      </c>
      <c r="J16" s="0" t="s">
        <v>834</v>
      </c>
      <c r="K16" s="0" t="s">
        <v>827</v>
      </c>
      <c r="L16" s="0" t="str">
        <f aca="false" t="array" ref="L16:L16">IF(D16&lt;10, IF(COUNTIF(concat(TRIM('Переформатированный ответ'!$B$2:$B$200),TRIM('Переформатированный ответ'!$C$2:$C$200)),concat(TRIM(B16),TRIM(C16))) &gt; 0,"Есть","Нет"),"")</f>
        <v/>
      </c>
      <c r="M16" s="0" t="n">
        <v>2</v>
      </c>
      <c r="O16" s="0" t="s">
        <v>826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</v>
      </c>
    </row>
    <row r="17" customFormat="false" ht="15.75" hidden="false" customHeight="false" outlineLevel="0" collapsed="false">
      <c r="A17" s="0" t="n">
        <v>43219.8045988079</v>
      </c>
      <c r="B17" s="0" t="s">
        <v>878</v>
      </c>
      <c r="C17" s="0" t="s">
        <v>879</v>
      </c>
      <c r="D17" s="0" t="n">
        <v>10</v>
      </c>
      <c r="E17" s="0" t="n">
        <v>117</v>
      </c>
      <c r="G17" s="0" t="s">
        <v>880</v>
      </c>
      <c r="H17" s="0" t="s">
        <v>881</v>
      </c>
      <c r="I17" s="0" t="s">
        <v>825</v>
      </c>
      <c r="J17" s="0" t="s">
        <v>870</v>
      </c>
      <c r="K17" s="0" t="s">
        <v>827</v>
      </c>
      <c r="L17" s="0" t="str">
        <f aca="false" t="array" ref="L17:L17">IF(D17&lt;10, IF(COUNTIF(concat(TRIM('Переформатированный ответ'!$B$2:$B$200),TRIM('Переформатированный ответ'!$C$2:$C$200)),concat(TRIM(B17),TRIM(C17))) &gt; 0,"Есть","Нет"),"")</f>
        <v/>
      </c>
      <c r="M17" s="0" t="n">
        <v>2</v>
      </c>
      <c r="O17" s="0" t="s">
        <v>865</v>
      </c>
      <c r="Q17" s="0" t="n">
        <v>1</v>
      </c>
      <c r="R17" s="0" t="n">
        <v>1</v>
      </c>
      <c r="S17" s="0" t="n">
        <v>1</v>
      </c>
      <c r="T17" s="0" t="n">
        <v>1</v>
      </c>
      <c r="U17" s="0" t="n">
        <v>1</v>
      </c>
    </row>
    <row r="18" customFormat="false" ht="15.75" hidden="false" customHeight="false" outlineLevel="0" collapsed="false">
      <c r="A18" s="0" t="n">
        <v>43219.8051531366</v>
      </c>
      <c r="B18" s="0" t="s">
        <v>866</v>
      </c>
      <c r="C18" s="0" t="s">
        <v>178</v>
      </c>
      <c r="D18" s="0" t="n">
        <v>8</v>
      </c>
      <c r="E18" s="0" t="n">
        <v>117</v>
      </c>
      <c r="G18" s="0" t="s">
        <v>39</v>
      </c>
      <c r="H18" s="0" t="s">
        <v>882</v>
      </c>
      <c r="I18" s="0" t="s">
        <v>833</v>
      </c>
      <c r="J18" s="0" t="s">
        <v>826</v>
      </c>
      <c r="K18" s="0" t="s">
        <v>827</v>
      </c>
      <c r="L18" s="0" t="e">
        <f aca="false" t="array" ref="L18:L18">IF(D18&lt;10, IF(COUNTIF(concat(TRIM('Переформатированный ответ'!$B$2:$B$200),TRIM('Переформатированный ответ'!$C$2:$C$200)),concat(TRIM(B18),TRIM(C18))) &gt; 0,"Есть","Нет"),"")</f>
        <v>#NAME?</v>
      </c>
      <c r="M18" s="0" t="n">
        <v>2</v>
      </c>
      <c r="N18" s="0" t="s">
        <v>883</v>
      </c>
      <c r="O18" s="0" t="s">
        <v>833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</row>
    <row r="19" customFormat="false" ht="15.75" hidden="false" customHeight="false" outlineLevel="0" collapsed="false">
      <c r="A19" s="0" t="n">
        <v>43219.8089802083</v>
      </c>
      <c r="B19" s="0" t="s">
        <v>884</v>
      </c>
      <c r="C19" s="0" t="s">
        <v>843</v>
      </c>
      <c r="D19" s="0" t="n">
        <v>10</v>
      </c>
      <c r="E19" s="0" t="n">
        <v>64</v>
      </c>
      <c r="G19" s="0" t="s">
        <v>885</v>
      </c>
      <c r="H19" s="0" t="s">
        <v>886</v>
      </c>
      <c r="I19" s="0" t="s">
        <v>825</v>
      </c>
      <c r="J19" s="0" t="s">
        <v>887</v>
      </c>
      <c r="K19" s="0" t="s">
        <v>39</v>
      </c>
      <c r="L19" s="0" t="str">
        <f aca="false" t="array" ref="L19:L19">IF(D19&lt;10, IF(COUNTIF(concat(TRIM('Переформатированный ответ'!$B$2:$B$200),TRIM('Переформатированный ответ'!$C$2:$C$200)),concat(TRIM(B19),TRIM(C19))) &gt; 0,"Есть","Нет"),"")</f>
        <v/>
      </c>
      <c r="M19" s="0" t="n">
        <v>2</v>
      </c>
      <c r="O19" s="0" t="s">
        <v>825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</row>
    <row r="20" customFormat="false" ht="15.75" hidden="false" customHeight="false" outlineLevel="0" collapsed="false">
      <c r="A20" s="0" t="n">
        <v>43219.8089916898</v>
      </c>
      <c r="B20" s="0" t="s">
        <v>888</v>
      </c>
      <c r="C20" s="0" t="s">
        <v>618</v>
      </c>
      <c r="D20" s="0" t="n">
        <v>10</v>
      </c>
      <c r="E20" s="0" t="n">
        <v>64</v>
      </c>
      <c r="G20" s="0" t="s">
        <v>889</v>
      </c>
      <c r="H20" s="0" t="s">
        <v>890</v>
      </c>
      <c r="I20" s="0" t="s">
        <v>825</v>
      </c>
      <c r="J20" s="0" t="s">
        <v>887</v>
      </c>
      <c r="K20" s="0" t="s">
        <v>827</v>
      </c>
      <c r="L20" s="0" t="str">
        <f aca="false" t="array" ref="L20:L20">IF(D20&lt;10, IF(COUNTIF(concat(TRIM('Переформатированный ответ'!$B$2:$B$200),TRIM('Переформатированный ответ'!$C$2:$C$200)),concat(TRIM(B20),TRIM(C20))) &gt; 0,"Есть","Нет"),"")</f>
        <v/>
      </c>
      <c r="M20" s="0" t="n">
        <v>2</v>
      </c>
      <c r="O20" s="0" t="s">
        <v>825</v>
      </c>
      <c r="Q20" s="0" t="n">
        <v>1</v>
      </c>
      <c r="R20" s="0" t="n">
        <v>1</v>
      </c>
      <c r="S20" s="0" t="n">
        <v>1</v>
      </c>
      <c r="T20" s="0" t="n">
        <v>1</v>
      </c>
      <c r="U20" s="0" t="n">
        <v>1</v>
      </c>
    </row>
    <row r="21" customFormat="false" ht="15.75" hidden="false" customHeight="false" outlineLevel="0" collapsed="false">
      <c r="A21" s="0" t="n">
        <v>43219.816239919</v>
      </c>
      <c r="B21" s="0" t="s">
        <v>891</v>
      </c>
      <c r="C21" s="0" t="s">
        <v>892</v>
      </c>
      <c r="D21" s="0" t="n">
        <v>10</v>
      </c>
      <c r="E21" s="0" t="n">
        <v>149</v>
      </c>
      <c r="G21" s="0" t="s">
        <v>893</v>
      </c>
      <c r="H21" s="0" t="s">
        <v>894</v>
      </c>
      <c r="I21" s="0" t="s">
        <v>865</v>
      </c>
      <c r="J21" s="0" t="s">
        <v>848</v>
      </c>
      <c r="K21" s="0" t="s">
        <v>39</v>
      </c>
      <c r="L21" s="0" t="str">
        <f aca="false" t="array" ref="L21:L21">IF(D21&lt;10, IF(COUNTIF(concat(TRIM('Переформатированный ответ'!$B$2:$B$200),TRIM('Переформатированный ответ'!$C$2:$C$200)),concat(TRIM(B21),TRIM(C21))) &gt; 0,"Есть","Нет"),"")</f>
        <v/>
      </c>
      <c r="M21" s="0" t="n">
        <v>-1</v>
      </c>
    </row>
    <row r="22" customFormat="false" ht="15.75" hidden="false" customHeight="false" outlineLevel="0" collapsed="false">
      <c r="A22" s="0" t="n">
        <v>43219.8169036343</v>
      </c>
      <c r="B22" s="0" t="s">
        <v>895</v>
      </c>
      <c r="C22" s="0" t="s">
        <v>673</v>
      </c>
      <c r="D22" s="0" t="n">
        <v>8</v>
      </c>
      <c r="E22" s="0" t="n">
        <v>117</v>
      </c>
      <c r="G22" s="0" t="s">
        <v>896</v>
      </c>
      <c r="H22" s="0" t="s">
        <v>897</v>
      </c>
      <c r="I22" s="0" t="s">
        <v>838</v>
      </c>
      <c r="J22" s="0" t="s">
        <v>898</v>
      </c>
      <c r="K22" s="0" t="s">
        <v>827</v>
      </c>
      <c r="L22" s="0" t="e">
        <f aca="false" t="array" ref="L22:L22">IF(D22&lt;10, IF(COUNTIF(concat(TRIM('Переформатированный ответ'!$B$2:$B$200),TRIM('Переформатированный ответ'!$C$2:$C$200)),concat(TRIM(B22),TRIM(C22))) &gt; 0,"Есть","Нет"),"")</f>
        <v>#NAME?</v>
      </c>
      <c r="M22" s="0" t="n">
        <v>-1</v>
      </c>
    </row>
    <row r="23" customFormat="false" ht="15.75" hidden="false" customHeight="false" outlineLevel="0" collapsed="false">
      <c r="A23" s="0" t="n">
        <v>43219.8170103009</v>
      </c>
      <c r="B23" s="0" t="s">
        <v>899</v>
      </c>
      <c r="C23" s="0" t="s">
        <v>900</v>
      </c>
      <c r="D23" s="0" t="n">
        <v>10</v>
      </c>
      <c r="E23" s="0" t="n">
        <v>64</v>
      </c>
      <c r="G23" s="0" t="s">
        <v>901</v>
      </c>
      <c r="H23" s="0" t="s">
        <v>902</v>
      </c>
      <c r="I23" s="0" t="s">
        <v>825</v>
      </c>
      <c r="J23" s="0" t="s">
        <v>887</v>
      </c>
      <c r="K23" s="0" t="s">
        <v>39</v>
      </c>
      <c r="L23" s="0" t="str">
        <f aca="false" t="array" ref="L23:L23">IF(D23&lt;10, IF(COUNTIF(concat(TRIM('Переформатированный ответ'!$B$2:$B$200),TRIM('Переформатированный ответ'!$C$2:$C$200)),concat(TRIM(B23),TRIM(C23))) &gt; 0,"Есть","Нет"),"")</f>
        <v/>
      </c>
      <c r="M23" s="0" t="n">
        <v>2</v>
      </c>
      <c r="O23" s="0" t="s">
        <v>825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</v>
      </c>
    </row>
    <row r="24" customFormat="false" ht="15.75" hidden="false" customHeight="false" outlineLevel="0" collapsed="false">
      <c r="A24" s="0" t="n">
        <v>43219.8291390162</v>
      </c>
      <c r="B24" s="0" t="s">
        <v>464</v>
      </c>
      <c r="C24" s="0" t="s">
        <v>465</v>
      </c>
      <c r="D24" s="0" t="n">
        <v>10</v>
      </c>
      <c r="E24" s="0" t="n">
        <v>149</v>
      </c>
      <c r="G24" s="0" t="s">
        <v>467</v>
      </c>
      <c r="H24" s="0" t="s">
        <v>468</v>
      </c>
      <c r="I24" s="0" t="s">
        <v>825</v>
      </c>
      <c r="J24" s="0" t="s">
        <v>860</v>
      </c>
      <c r="K24" s="0" t="s">
        <v>39</v>
      </c>
      <c r="L24" s="0" t="str">
        <f aca="false" t="array" ref="L24:L24">IF(D24&lt;10, IF(COUNTIF(concat(TRIM('Переформатированный ответ'!$B$2:$B$200),TRIM('Переформатированный ответ'!$C$2:$C$200)),concat(TRIM(B24),TRIM(C24))) &gt; 0,"Есть","Нет"),"")</f>
        <v/>
      </c>
      <c r="M24" s="0" t="n">
        <v>2</v>
      </c>
      <c r="O24" s="0" t="s">
        <v>825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</v>
      </c>
    </row>
    <row r="25" customFormat="false" ht="15.75" hidden="false" customHeight="false" outlineLevel="0" collapsed="false">
      <c r="A25" s="0" t="n">
        <v>43219.8299725</v>
      </c>
      <c r="B25" s="0" t="s">
        <v>315</v>
      </c>
      <c r="C25" s="0" t="s">
        <v>316</v>
      </c>
      <c r="D25" s="0" t="n">
        <v>8</v>
      </c>
      <c r="E25" s="0" t="n">
        <v>117</v>
      </c>
      <c r="G25" s="0" t="s">
        <v>903</v>
      </c>
      <c r="H25" s="0" t="s">
        <v>319</v>
      </c>
      <c r="I25" s="0" t="s">
        <v>846</v>
      </c>
      <c r="J25" s="0" t="s">
        <v>851</v>
      </c>
      <c r="K25" s="0" t="s">
        <v>39</v>
      </c>
      <c r="L25" s="0" t="e">
        <f aca="false" t="array" ref="L25:L25">IF(D25&lt;10, IF(COUNTIF(concat(TRIM('Переформатированный ответ'!$B$2:$B$200),TRIM('Переформатированный ответ'!$C$2:$C$200)),concat(TRIM(B25),TRIM(C25))) &gt; 0,"Есть","Нет"),"")</f>
        <v>#NAME?</v>
      </c>
      <c r="M25" s="0" t="n">
        <v>2</v>
      </c>
      <c r="O25" s="0" t="s">
        <v>846</v>
      </c>
      <c r="Q25" s="0" t="n">
        <v>1</v>
      </c>
      <c r="R25" s="0" t="n">
        <v>1</v>
      </c>
      <c r="S25" s="0" t="n">
        <v>1</v>
      </c>
      <c r="T25" s="0" t="n">
        <v>1</v>
      </c>
    </row>
    <row r="26" customFormat="false" ht="15.75" hidden="false" customHeight="false" outlineLevel="0" collapsed="false">
      <c r="A26" s="0" t="n">
        <v>43219.8390176389</v>
      </c>
      <c r="B26" s="0" t="s">
        <v>758</v>
      </c>
      <c r="C26" s="0" t="s">
        <v>687</v>
      </c>
      <c r="D26" s="0" t="n">
        <v>10</v>
      </c>
      <c r="E26" s="0" t="n">
        <v>64</v>
      </c>
      <c r="G26" s="0" t="s">
        <v>904</v>
      </c>
      <c r="H26" s="0" t="s">
        <v>905</v>
      </c>
      <c r="I26" s="0" t="s">
        <v>825</v>
      </c>
      <c r="J26" s="0" t="s">
        <v>870</v>
      </c>
      <c r="K26" s="0" t="s">
        <v>827</v>
      </c>
      <c r="L26" s="0" t="str">
        <f aca="false" t="array" ref="L26:L26">IF(D26&lt;10, IF(COUNTIF(concat(TRIM('Переформатированный ответ'!$B$2:$B$200),TRIM('Переформатированный ответ'!$C$2:$C$200)),concat(TRIM(B26),TRIM(C26))) &gt; 0,"Есть","Нет"),"")</f>
        <v/>
      </c>
      <c r="M26" s="0" t="n">
        <v>2</v>
      </c>
      <c r="O26" s="0" t="s">
        <v>825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0</v>
      </c>
    </row>
    <row r="27" customFormat="false" ht="15.75" hidden="false" customHeight="false" outlineLevel="0" collapsed="false">
      <c r="A27" s="0" t="n">
        <v>43219.8391704051</v>
      </c>
      <c r="B27" s="0" t="s">
        <v>715</v>
      </c>
      <c r="C27" s="0" t="s">
        <v>427</v>
      </c>
      <c r="D27" s="0" t="n">
        <v>8</v>
      </c>
      <c r="E27" s="0" t="n">
        <v>117</v>
      </c>
      <c r="G27" s="0" t="s">
        <v>906</v>
      </c>
      <c r="H27" s="0" t="s">
        <v>526</v>
      </c>
      <c r="I27" s="0" t="s">
        <v>826</v>
      </c>
      <c r="J27" s="0" t="s">
        <v>833</v>
      </c>
      <c r="K27" s="0" t="s">
        <v>39</v>
      </c>
      <c r="L27" s="0" t="e">
        <f aca="false" t="array" ref="L27:L27">IF(D27&lt;10, IF(COUNTIF(concat(TRIM('Переформатированный ответ'!$B$2:$B$200),TRIM('Переформатированный ответ'!$C$2:$C$200)),concat(TRIM(B27),TRIM(C27))) &gt; 0,"Есть","Нет"),"")</f>
        <v>#NAME?</v>
      </c>
      <c r="M27" s="0" t="n">
        <v>2</v>
      </c>
      <c r="O27" s="0" t="s">
        <v>826</v>
      </c>
      <c r="Q27" s="0" t="n">
        <v>1</v>
      </c>
      <c r="R27" s="0" t="n">
        <v>1</v>
      </c>
      <c r="S27" s="0" t="n">
        <v>1</v>
      </c>
      <c r="T27" s="0" t="n">
        <v>0</v>
      </c>
      <c r="U27" s="0" t="n">
        <v>1</v>
      </c>
    </row>
    <row r="28" customFormat="false" ht="15.75" hidden="false" customHeight="false" outlineLevel="0" collapsed="false">
      <c r="A28" s="0" t="n">
        <v>43219.8395610533</v>
      </c>
      <c r="B28" s="0" t="s">
        <v>907</v>
      </c>
      <c r="C28" s="0" t="s">
        <v>908</v>
      </c>
      <c r="D28" s="0" t="n">
        <v>11</v>
      </c>
      <c r="E28" s="0" t="n">
        <v>54</v>
      </c>
      <c r="G28" s="0" t="s">
        <v>909</v>
      </c>
      <c r="H28" s="0" t="s">
        <v>910</v>
      </c>
      <c r="I28" s="0" t="s">
        <v>825</v>
      </c>
      <c r="J28" s="0" t="s">
        <v>870</v>
      </c>
      <c r="K28" s="0" t="s">
        <v>827</v>
      </c>
      <c r="L28" s="0" t="str">
        <f aca="false" t="array" ref="L28:L28">IF(D28&lt;10, IF(COUNTIF(concat(TRIM('Переформатированный ответ'!$B$2:$B$200),TRIM('Переформатированный ответ'!$C$2:$C$200)),concat(TRIM(B28),TRIM(C28))) &gt; 0,"Есть","Нет"),"")</f>
        <v/>
      </c>
      <c r="M28" s="0" t="n">
        <v>-1</v>
      </c>
    </row>
    <row r="29" customFormat="false" ht="15.75" hidden="false" customHeight="false" outlineLevel="0" collapsed="false">
      <c r="A29" s="0" t="n">
        <v>43219.8409502315</v>
      </c>
      <c r="B29" s="0" t="s">
        <v>293</v>
      </c>
      <c r="C29" s="0" t="s">
        <v>187</v>
      </c>
      <c r="D29" s="0" t="n">
        <v>7</v>
      </c>
      <c r="E29" s="0" t="n">
        <v>66</v>
      </c>
      <c r="F29" s="0" t="n">
        <v>66</v>
      </c>
      <c r="G29" s="0" t="s">
        <v>911</v>
      </c>
      <c r="H29" s="0" t="s">
        <v>296</v>
      </c>
      <c r="I29" s="0" t="s">
        <v>130</v>
      </c>
      <c r="J29" s="0" t="s">
        <v>870</v>
      </c>
      <c r="K29" s="0" t="s">
        <v>39</v>
      </c>
      <c r="L29" s="0" t="e">
        <f aca="false" t="array" ref="L29:L29">IF(D29&lt;10, IF(COUNTIF(concat(TRIM('Переформатированный ответ'!$B$2:$B$200),TRIM('Переформатированный ответ'!$C$2:$C$200)),concat(TRIM(B29),TRIM(C29))) &gt; 0,"Есть","Нет"),"")</f>
        <v>#NAME?</v>
      </c>
      <c r="M29" s="0" t="n">
        <v>2</v>
      </c>
      <c r="O29" s="0" t="s">
        <v>130</v>
      </c>
      <c r="Q29" s="0" t="n">
        <v>1</v>
      </c>
      <c r="R29" s="0" t="n">
        <v>1</v>
      </c>
      <c r="S29" s="0" t="n">
        <v>1</v>
      </c>
      <c r="T29" s="0" t="n">
        <v>1</v>
      </c>
      <c r="U29" s="0" t="n">
        <v>1</v>
      </c>
    </row>
    <row r="30" customFormat="false" ht="15.75" hidden="false" customHeight="false" outlineLevel="0" collapsed="false">
      <c r="A30" s="0" t="n">
        <v>43219.8428541898</v>
      </c>
      <c r="B30" s="0" t="s">
        <v>912</v>
      </c>
      <c r="C30" s="0" t="s">
        <v>254</v>
      </c>
      <c r="D30" s="0" t="n">
        <v>10</v>
      </c>
      <c r="E30" s="0" t="n">
        <v>66</v>
      </c>
      <c r="G30" s="0" t="s">
        <v>913</v>
      </c>
      <c r="H30" s="0" t="s">
        <v>914</v>
      </c>
      <c r="I30" s="0" t="s">
        <v>130</v>
      </c>
      <c r="J30" s="0" t="s">
        <v>846</v>
      </c>
      <c r="K30" s="0" t="s">
        <v>39</v>
      </c>
      <c r="L30" s="0" t="str">
        <f aca="false" t="array" ref="L30:L30">IF(D30&lt;10, IF(COUNTIF(concat(TRIM('Переформатированный ответ'!$B$2:$B$200),TRIM('Переформатированный ответ'!$C$2:$C$200)),concat(TRIM(B30),TRIM(C30))) &gt; 0,"Есть","Нет"),"")</f>
        <v/>
      </c>
      <c r="M30" s="0" t="n">
        <v>2</v>
      </c>
      <c r="O30" s="0" t="s">
        <v>130</v>
      </c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</row>
    <row r="31" customFormat="false" ht="15.75" hidden="false" customHeight="false" outlineLevel="0" collapsed="false">
      <c r="A31" s="0" t="n">
        <v>43219.8444911806</v>
      </c>
      <c r="B31" s="0" t="s">
        <v>915</v>
      </c>
      <c r="C31" s="0" t="s">
        <v>916</v>
      </c>
      <c r="D31" s="0" t="n">
        <v>10</v>
      </c>
      <c r="G31" s="0" t="s">
        <v>917</v>
      </c>
      <c r="H31" s="0" t="s">
        <v>918</v>
      </c>
      <c r="I31" s="0" t="s">
        <v>919</v>
      </c>
      <c r="J31" s="0" t="s">
        <v>838</v>
      </c>
      <c r="K31" s="0" t="s">
        <v>827</v>
      </c>
      <c r="L31" s="0" t="str">
        <f aca="false" t="array" ref="L31:L31">IF(D31&lt;10, IF(COUNTIF(concat(TRIM('Переформатированный ответ'!$B$2:$B$200),TRIM('Переформатированный ответ'!$C$2:$C$200)),concat(TRIM(B31),TRIM(C31))) &gt; 0,"Есть","Нет"),"")</f>
        <v/>
      </c>
      <c r="M31" s="0" t="n">
        <v>2</v>
      </c>
      <c r="O31" s="0" t="s">
        <v>919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</row>
    <row r="32" customFormat="false" ht="15.75" hidden="false" customHeight="false" outlineLevel="0" collapsed="false">
      <c r="A32" s="0" t="n">
        <v>43219.8451252083</v>
      </c>
      <c r="B32" s="0" t="s">
        <v>920</v>
      </c>
      <c r="C32" s="0" t="s">
        <v>762</v>
      </c>
      <c r="D32" s="0" t="n">
        <v>11</v>
      </c>
      <c r="E32" s="0" t="n">
        <v>17</v>
      </c>
      <c r="G32" s="0" t="s">
        <v>921</v>
      </c>
      <c r="H32" s="0" t="s">
        <v>922</v>
      </c>
      <c r="I32" s="0" t="s">
        <v>130</v>
      </c>
      <c r="J32" s="0" t="s">
        <v>826</v>
      </c>
      <c r="K32" s="0" t="s">
        <v>39</v>
      </c>
      <c r="L32" s="0" t="str">
        <f aca="false" t="array" ref="L32:L32">IF(D32&lt;10, IF(COUNTIF(concat(TRIM('Переформатированный ответ'!$B$2:$B$200),TRIM('Переформатированный ответ'!$C$2:$C$200)),concat(TRIM(B32),TRIM(C32))) &gt; 0,"Есть","Нет"),"")</f>
        <v/>
      </c>
      <c r="M32" s="0" t="n">
        <v>-1</v>
      </c>
    </row>
    <row r="33" customFormat="false" ht="15.75" hidden="false" customHeight="false" outlineLevel="0" collapsed="false">
      <c r="A33" s="0" t="n">
        <v>43219.8456938657</v>
      </c>
      <c r="B33" s="0" t="s">
        <v>29</v>
      </c>
      <c r="C33" s="0" t="s">
        <v>879</v>
      </c>
      <c r="D33" s="0" t="n">
        <v>8</v>
      </c>
      <c r="E33" s="0" t="s">
        <v>923</v>
      </c>
      <c r="G33" s="0" t="s">
        <v>924</v>
      </c>
      <c r="H33" s="0" t="s">
        <v>925</v>
      </c>
      <c r="I33" s="0" t="s">
        <v>825</v>
      </c>
      <c r="J33" s="0" t="s">
        <v>846</v>
      </c>
      <c r="K33" s="0" t="s">
        <v>39</v>
      </c>
      <c r="L33" s="0" t="e">
        <f aca="false" t="array" ref="L33:L33">IF(D33&lt;10, IF(COUNTIF(concat(TRIM('Переформатированный ответ'!$B$2:$B$200),TRIM('Переформатированный ответ'!$C$2:$C$200)),concat(TRIM(B33),TRIM(C33))) &gt; 0,"Есть","Нет"),"")</f>
        <v>#NAME?</v>
      </c>
      <c r="M33" s="0" t="n">
        <v>1</v>
      </c>
      <c r="N33" s="0" t="s">
        <v>926</v>
      </c>
      <c r="O33" s="0" t="s">
        <v>825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5.75" hidden="false" customHeight="false" outlineLevel="0" collapsed="false">
      <c r="A34" s="0" t="n">
        <v>43219.8471419907</v>
      </c>
      <c r="B34" s="0" t="s">
        <v>899</v>
      </c>
      <c r="C34" s="0" t="s">
        <v>682</v>
      </c>
      <c r="D34" s="0" t="n">
        <v>10</v>
      </c>
      <c r="E34" s="0" t="n">
        <v>66</v>
      </c>
      <c r="G34" s="0" t="s">
        <v>927</v>
      </c>
      <c r="H34" s="0" t="s">
        <v>928</v>
      </c>
      <c r="I34" s="0" t="s">
        <v>130</v>
      </c>
      <c r="J34" s="0" t="s">
        <v>846</v>
      </c>
      <c r="K34" s="0" t="s">
        <v>39</v>
      </c>
      <c r="L34" s="0" t="str">
        <f aca="false" t="array" ref="L34:L34">IF(D34&lt;10, IF(COUNTIF(concat(TRIM('Переформатированный ответ'!$B$2:$B$200),TRIM('Переформатированный ответ'!$C$2:$C$200)),concat(TRIM(B34),TRIM(C34))) &gt; 0,"Есть","Нет"),"")</f>
        <v/>
      </c>
      <c r="M34" s="0" t="n">
        <v>2</v>
      </c>
      <c r="O34" s="0" t="s">
        <v>130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0</v>
      </c>
    </row>
    <row r="35" customFormat="false" ht="15.75" hidden="false" customHeight="false" outlineLevel="0" collapsed="false">
      <c r="A35" s="0" t="n">
        <v>43219.8475952546</v>
      </c>
      <c r="B35" s="0" t="s">
        <v>929</v>
      </c>
      <c r="C35" s="0" t="s">
        <v>205</v>
      </c>
      <c r="D35" s="0" t="n">
        <v>10</v>
      </c>
      <c r="E35" s="0" t="n">
        <v>149</v>
      </c>
      <c r="G35" s="0" t="s">
        <v>930</v>
      </c>
      <c r="H35" s="0" t="s">
        <v>931</v>
      </c>
      <c r="I35" s="0" t="s">
        <v>130</v>
      </c>
      <c r="J35" s="0" t="s">
        <v>838</v>
      </c>
      <c r="K35" s="0" t="s">
        <v>39</v>
      </c>
      <c r="L35" s="0" t="str">
        <f aca="false" t="array" ref="L35:L35">IF(D35&lt;10, IF(COUNTIF(concat(TRIM('Переформатированный ответ'!$B$2:$B$200),TRIM('Переформатированный ответ'!$C$2:$C$200)),concat(TRIM(B35),TRIM(C35))) &gt; 0,"Есть","Нет"),"")</f>
        <v/>
      </c>
      <c r="M35" s="0" t="n">
        <v>2</v>
      </c>
      <c r="O35" s="0" t="s">
        <v>130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0</v>
      </c>
    </row>
    <row r="36" customFormat="false" ht="15.75" hidden="false" customHeight="false" outlineLevel="0" collapsed="false">
      <c r="A36" s="0" t="n">
        <v>43219.863468912</v>
      </c>
      <c r="B36" s="0" t="s">
        <v>620</v>
      </c>
      <c r="C36" s="0" t="s">
        <v>621</v>
      </c>
      <c r="D36" s="0" t="n">
        <v>9</v>
      </c>
      <c r="E36" s="0" t="n">
        <v>117</v>
      </c>
      <c r="G36" s="0" t="s">
        <v>932</v>
      </c>
      <c r="H36" s="0" t="s">
        <v>623</v>
      </c>
      <c r="I36" s="0" t="s">
        <v>130</v>
      </c>
      <c r="J36" s="0" t="s">
        <v>833</v>
      </c>
      <c r="K36" s="0" t="s">
        <v>39</v>
      </c>
      <c r="L36" s="0" t="e">
        <f aca="false" t="array" ref="L36:L36">IF(D36&lt;10, IF(COUNTIF(concat(TRIM('Переформатированный ответ'!$B$2:$B$200),TRIM('Переформатированный ответ'!$C$2:$C$200)),concat(TRIM(B36),TRIM(C36))) &gt; 0,"Есть","Нет"),"")</f>
        <v>#NAME?</v>
      </c>
      <c r="M36" s="0" t="n">
        <v>2</v>
      </c>
      <c r="O36" s="0" t="s">
        <v>130</v>
      </c>
      <c r="Q36" s="0" t="n">
        <v>1</v>
      </c>
      <c r="R36" s="0" t="n">
        <v>1</v>
      </c>
      <c r="S36" s="0" t="n">
        <v>1</v>
      </c>
      <c r="T36" s="0" t="n">
        <v>1</v>
      </c>
    </row>
    <row r="37" customFormat="false" ht="15.75" hidden="false" customHeight="false" outlineLevel="0" collapsed="false">
      <c r="A37" s="0" t="n">
        <v>43219.8656752083</v>
      </c>
      <c r="B37" s="0" t="s">
        <v>443</v>
      </c>
      <c r="C37" s="0" t="s">
        <v>444</v>
      </c>
      <c r="D37" s="0" t="n">
        <v>7</v>
      </c>
      <c r="E37" s="0" t="n">
        <v>117</v>
      </c>
      <c r="G37" s="0" t="s">
        <v>933</v>
      </c>
      <c r="H37" s="0" t="s">
        <v>447</v>
      </c>
      <c r="I37" s="0" t="s">
        <v>851</v>
      </c>
      <c r="J37" s="0" t="s">
        <v>846</v>
      </c>
      <c r="K37" s="0" t="s">
        <v>39</v>
      </c>
      <c r="L37" s="0" t="e">
        <f aca="false" t="array" ref="L37:L37">IF(D37&lt;10, IF(COUNTIF(concat(TRIM('Переформатированный ответ'!$B$2:$B$200),TRIM('Переформатированный ответ'!$C$2:$C$200)),concat(TRIM(B37),TRIM(C37))) &gt; 0,"Есть","Нет"),"")</f>
        <v>#NAME?</v>
      </c>
      <c r="M37" s="0" t="n">
        <v>2</v>
      </c>
      <c r="O37" s="0" t="s">
        <v>851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r="38" customFormat="false" ht="15.75" hidden="false" customHeight="false" outlineLevel="0" collapsed="false">
      <c r="A38" s="0" t="n">
        <v>43219.8735236227</v>
      </c>
      <c r="B38" s="0" t="s">
        <v>934</v>
      </c>
      <c r="C38" s="0" t="s">
        <v>270</v>
      </c>
      <c r="D38" s="0" t="n">
        <v>7</v>
      </c>
      <c r="E38" s="0" t="n">
        <v>117</v>
      </c>
      <c r="G38" s="0" t="s">
        <v>39</v>
      </c>
      <c r="H38" s="0" t="s">
        <v>92</v>
      </c>
      <c r="I38" s="0" t="s">
        <v>825</v>
      </c>
      <c r="J38" s="0" t="s">
        <v>860</v>
      </c>
      <c r="K38" s="0" t="s">
        <v>39</v>
      </c>
      <c r="L38" s="0" t="e">
        <f aca="false" t="array" ref="L38:L38">IF(D38&lt;10, IF(COUNTIF(concat(TRIM('Переформатированный ответ'!$B$2:$B$200),TRIM('Переформатированный ответ'!$C$2:$C$200)),concat(TRIM(B38),TRIM(C38))) &gt; 0,"Есть","Нет"),"")</f>
        <v>#NAME?</v>
      </c>
      <c r="M38" s="0" t="n">
        <v>1</v>
      </c>
      <c r="O38" s="0" t="s">
        <v>825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</v>
      </c>
    </row>
    <row r="39" customFormat="false" ht="15.75" hidden="false" customHeight="false" outlineLevel="0" collapsed="false">
      <c r="A39" s="0" t="n">
        <v>43219.8753747338</v>
      </c>
      <c r="B39" s="0" t="s">
        <v>935</v>
      </c>
      <c r="C39" s="0" t="s">
        <v>755</v>
      </c>
      <c r="D39" s="0" t="n">
        <v>10</v>
      </c>
      <c r="E39" s="0" t="n">
        <v>64</v>
      </c>
      <c r="G39" s="0" t="s">
        <v>39</v>
      </c>
      <c r="H39" s="0" t="s">
        <v>936</v>
      </c>
      <c r="I39" s="0" t="s">
        <v>825</v>
      </c>
      <c r="J39" s="0" t="s">
        <v>850</v>
      </c>
      <c r="K39" s="0" t="s">
        <v>827</v>
      </c>
      <c r="L39" s="0" t="str">
        <f aca="false" t="array" ref="L39:L39">IF(D39&lt;10, IF(COUNTIF(concat(TRIM('Переформатированный ответ'!$B$2:$B$200),TRIM('Переформатированный ответ'!$C$2:$C$200)),concat(TRIM(B39),TRIM(C39))) &gt; 0,"Есть","Нет"),"")</f>
        <v/>
      </c>
      <c r="M39" s="0" t="n">
        <v>1</v>
      </c>
      <c r="O39" s="0" t="s">
        <v>825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</row>
    <row r="40" customFormat="false" ht="15.75" hidden="false" customHeight="false" outlineLevel="0" collapsed="false">
      <c r="A40" s="0" t="n">
        <v>43219.8829114005</v>
      </c>
      <c r="B40" s="0" t="s">
        <v>937</v>
      </c>
      <c r="C40" s="0" t="s">
        <v>38</v>
      </c>
      <c r="D40" s="0" t="n">
        <v>7</v>
      </c>
      <c r="E40" s="0" t="n">
        <v>117</v>
      </c>
      <c r="G40" s="0" t="s">
        <v>938</v>
      </c>
      <c r="H40" s="0" t="s">
        <v>939</v>
      </c>
      <c r="I40" s="0" t="s">
        <v>825</v>
      </c>
      <c r="J40" s="0" t="s">
        <v>851</v>
      </c>
      <c r="K40" s="0" t="s">
        <v>39</v>
      </c>
      <c r="L40" s="0" t="e">
        <f aca="false" t="array" ref="L40:L40">IF(D40&lt;10, IF(COUNTIF(concat(TRIM('Переформатированный ответ'!$B$2:$B$200),TRIM('Переформатированный ответ'!$C$2:$C$200)),concat(TRIM(B40),TRIM(C40))) &gt; 0,"Есть","Нет"),"")</f>
        <v>#NAME?</v>
      </c>
      <c r="M40" s="0" t="n">
        <v>2</v>
      </c>
      <c r="O40" s="0" t="s">
        <v>825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</row>
    <row r="41" customFormat="false" ht="15.75" hidden="false" customHeight="false" outlineLevel="0" collapsed="false">
      <c r="A41" s="0" t="n">
        <v>43219.8912425463</v>
      </c>
      <c r="B41" s="0" t="s">
        <v>940</v>
      </c>
      <c r="C41" s="0" t="s">
        <v>330</v>
      </c>
      <c r="D41" s="0" t="n">
        <v>10</v>
      </c>
      <c r="E41" s="0" t="s">
        <v>941</v>
      </c>
      <c r="G41" s="0" t="s">
        <v>942</v>
      </c>
      <c r="H41" s="0" t="s">
        <v>943</v>
      </c>
      <c r="I41" s="0" t="s">
        <v>130</v>
      </c>
      <c r="J41" s="0" t="s">
        <v>838</v>
      </c>
      <c r="K41" s="0" t="s">
        <v>39</v>
      </c>
      <c r="L41" s="0" t="str">
        <f aca="false" t="array" ref="L41:L41">IF(D41&lt;10, IF(COUNTIF(concat(TRIM('Переформатированный ответ'!$B$2:$B$200),TRIM('Переформатированный ответ'!$C$2:$C$200)),concat(TRIM(B41),TRIM(C41))) &gt; 0,"Есть","Нет"),"")</f>
        <v/>
      </c>
      <c r="M41" s="0" t="n">
        <v>2</v>
      </c>
      <c r="O41" s="0" t="s">
        <v>130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</v>
      </c>
    </row>
    <row r="42" customFormat="false" ht="15.75" hidden="false" customHeight="false" outlineLevel="0" collapsed="false">
      <c r="A42" s="0" t="n">
        <v>43220.006485463</v>
      </c>
      <c r="B42" s="0" t="s">
        <v>944</v>
      </c>
      <c r="C42" s="0" t="s">
        <v>127</v>
      </c>
      <c r="D42" s="0" t="n">
        <v>7</v>
      </c>
      <c r="E42" s="0" t="n">
        <v>117</v>
      </c>
      <c r="G42" s="0" t="s">
        <v>945</v>
      </c>
      <c r="H42" s="0" t="s">
        <v>356</v>
      </c>
      <c r="I42" s="0" t="s">
        <v>825</v>
      </c>
      <c r="J42" s="0" t="s">
        <v>860</v>
      </c>
      <c r="K42" s="0" t="s">
        <v>39</v>
      </c>
      <c r="L42" s="0" t="e">
        <f aca="false" t="array" ref="L42:L42">IF(D42&lt;10, IF(COUNTIF(concat(TRIM('Переформатированный ответ'!$B$2:$B$200),TRIM('Переформатированный ответ'!$C$2:$C$200)),concat(TRIM(B42),TRIM(C42))) &gt; 0,"Есть","Нет"),"")</f>
        <v>#NAME?</v>
      </c>
      <c r="M42" s="0" t="n">
        <v>2</v>
      </c>
      <c r="O42" s="0" t="s">
        <v>825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</v>
      </c>
    </row>
    <row r="43" customFormat="false" ht="15.75" hidden="false" customHeight="false" outlineLevel="0" collapsed="false">
      <c r="A43" s="0" t="n">
        <v>43220.1869950695</v>
      </c>
      <c r="B43" s="0" t="s">
        <v>946</v>
      </c>
      <c r="C43" s="0" t="s">
        <v>350</v>
      </c>
      <c r="D43" s="0" t="n">
        <v>11</v>
      </c>
      <c r="E43" s="0" t="n">
        <v>117</v>
      </c>
      <c r="G43" s="0" t="s">
        <v>947</v>
      </c>
      <c r="H43" s="0" t="s">
        <v>948</v>
      </c>
      <c r="I43" s="0" t="s">
        <v>57</v>
      </c>
      <c r="J43" s="0" t="s">
        <v>860</v>
      </c>
      <c r="K43" s="0" t="s">
        <v>827</v>
      </c>
      <c r="L43" s="0" t="str">
        <f aca="false" t="array" ref="L43:L43">IF(D43&lt;10, IF(COUNTIF(concat(TRIM('Переформатированный ответ'!$B$2:$B$200),TRIM('Переформатированный ответ'!$C$2:$C$200)),concat(TRIM(B43),TRIM(C43))) &gt; 0,"Есть","Нет"),"")</f>
        <v/>
      </c>
      <c r="M43" s="0" t="n">
        <v>2</v>
      </c>
      <c r="O43" s="0" t="s">
        <v>57</v>
      </c>
      <c r="Q43" s="0" t="n">
        <v>0</v>
      </c>
      <c r="R43" s="0" t="n">
        <v>1</v>
      </c>
      <c r="S43" s="0" t="n">
        <v>1</v>
      </c>
      <c r="T43" s="0" t="n">
        <v>1</v>
      </c>
      <c r="U43" s="0" t="n">
        <v>1</v>
      </c>
    </row>
    <row r="44" customFormat="false" ht="15.75" hidden="false" customHeight="false" outlineLevel="0" collapsed="false">
      <c r="A44" s="0" t="n">
        <v>43220.1881376852</v>
      </c>
      <c r="B44" s="0" t="s">
        <v>949</v>
      </c>
      <c r="C44" s="0" t="s">
        <v>876</v>
      </c>
      <c r="D44" s="0" t="n">
        <v>10</v>
      </c>
      <c r="E44" s="0" t="n">
        <v>117</v>
      </c>
      <c r="G44" s="0" t="s">
        <v>950</v>
      </c>
      <c r="H44" s="0" t="s">
        <v>951</v>
      </c>
      <c r="I44" s="0" t="s">
        <v>838</v>
      </c>
      <c r="J44" s="0" t="s">
        <v>860</v>
      </c>
      <c r="K44" s="0" t="s">
        <v>39</v>
      </c>
      <c r="L44" s="0" t="str">
        <f aca="false" t="array" ref="L44:L44">IF(D44&lt;10, IF(COUNTIF(concat(TRIM('Переформатированный ответ'!$B$2:$B$200),TRIM('Переформатированный ответ'!$C$2:$C$200)),concat(TRIM(B44),TRIM(C44))) &gt; 0,"Есть","Нет"),"")</f>
        <v/>
      </c>
      <c r="M44" s="0" t="n">
        <v>2</v>
      </c>
      <c r="O44" s="0" t="s">
        <v>838</v>
      </c>
      <c r="Q44" s="0" t="n">
        <v>1</v>
      </c>
      <c r="R44" s="0" t="n">
        <v>1</v>
      </c>
      <c r="S44" s="0" t="n">
        <v>1</v>
      </c>
      <c r="T44" s="0" t="n">
        <v>1</v>
      </c>
      <c r="U44" s="0" t="n">
        <v>1</v>
      </c>
    </row>
    <row r="45" customFormat="false" ht="15.75" hidden="false" customHeight="false" outlineLevel="0" collapsed="false">
      <c r="A45" s="0" t="n">
        <v>43220.2120007407</v>
      </c>
      <c r="B45" s="0" t="s">
        <v>37</v>
      </c>
      <c r="C45" s="0" t="s">
        <v>38</v>
      </c>
      <c r="D45" s="0" t="n">
        <v>8</v>
      </c>
      <c r="E45" s="0" t="n">
        <v>117</v>
      </c>
      <c r="G45" s="0" t="s">
        <v>39</v>
      </c>
      <c r="H45" s="0" t="s">
        <v>40</v>
      </c>
      <c r="I45" s="0" t="s">
        <v>833</v>
      </c>
      <c r="J45" s="0" t="s">
        <v>826</v>
      </c>
      <c r="K45" s="0" t="s">
        <v>39</v>
      </c>
      <c r="L45" s="0" t="e">
        <f aca="false" t="array" ref="L45:L45">IF(D45&lt;10, IF(COUNTIF(concat(TRIM('Переформатированный ответ'!$B$2:$B$200),TRIM('Переформатированный ответ'!$C$2:$C$200)),concat(TRIM(B45),TRIM(C45))) &gt; 0,"Есть","Нет"),"")</f>
        <v>#NAME?</v>
      </c>
      <c r="M45" s="0" t="n">
        <v>2</v>
      </c>
      <c r="O45" s="0" t="s">
        <v>833</v>
      </c>
      <c r="Q45" s="0" t="n">
        <v>1</v>
      </c>
      <c r="R45" s="0" t="n">
        <v>1</v>
      </c>
      <c r="S45" s="0" t="n">
        <v>1</v>
      </c>
      <c r="T45" s="0" t="n">
        <v>1</v>
      </c>
      <c r="U45" s="0" t="n">
        <v>1</v>
      </c>
    </row>
    <row r="46" customFormat="false" ht="15.75" hidden="false" customHeight="false" outlineLevel="0" collapsed="false">
      <c r="A46" s="0" t="n">
        <v>43220.2323571296</v>
      </c>
      <c r="B46" s="0" t="s">
        <v>952</v>
      </c>
      <c r="C46" s="0" t="s">
        <v>142</v>
      </c>
      <c r="D46" s="0" t="n">
        <v>10</v>
      </c>
      <c r="E46" s="0" t="n">
        <v>63</v>
      </c>
      <c r="G46" s="0" t="s">
        <v>953</v>
      </c>
      <c r="H46" s="0" t="s">
        <v>954</v>
      </c>
      <c r="I46" s="0" t="s">
        <v>130</v>
      </c>
      <c r="J46" s="0" t="s">
        <v>833</v>
      </c>
      <c r="K46" s="0" t="s">
        <v>39</v>
      </c>
      <c r="L46" s="0" t="str">
        <f aca="false" t="array" ref="L46:L46">IF(D46&lt;10, IF(COUNTIF(concat(TRIM('Переформатированный ответ'!$B$2:$B$200),TRIM('Переформатированный ответ'!$C$2:$C$200)),concat(TRIM(B46),TRIM(C46))) &gt; 0,"Есть","Нет"),"")</f>
        <v/>
      </c>
      <c r="M46" s="0" t="n">
        <v>2</v>
      </c>
      <c r="O46" s="0" t="s">
        <v>130</v>
      </c>
      <c r="Q46" s="0" t="n">
        <v>1</v>
      </c>
      <c r="R46" s="0" t="n">
        <v>1</v>
      </c>
      <c r="S46" s="0" t="n">
        <v>1</v>
      </c>
      <c r="T46" s="0" t="n">
        <v>1</v>
      </c>
      <c r="U46" s="0" t="n">
        <v>1</v>
      </c>
    </row>
    <row r="47" customFormat="false" ht="15.75" hidden="false" customHeight="false" outlineLevel="0" collapsed="false">
      <c r="A47" s="0" t="n">
        <v>43220.236149456</v>
      </c>
      <c r="B47" s="0" t="s">
        <v>955</v>
      </c>
      <c r="C47" s="0" t="s">
        <v>956</v>
      </c>
      <c r="D47" s="0" t="n">
        <v>9</v>
      </c>
      <c r="E47" s="0" t="n">
        <v>117</v>
      </c>
      <c r="G47" s="0" t="s">
        <v>39</v>
      </c>
      <c r="H47" s="0" t="s">
        <v>957</v>
      </c>
      <c r="I47" s="0" t="s">
        <v>826</v>
      </c>
      <c r="J47" s="0" t="s">
        <v>898</v>
      </c>
      <c r="K47" s="0" t="s">
        <v>827</v>
      </c>
      <c r="L47" s="0" t="e">
        <f aca="false" t="array" ref="L47:L47">IF(D47&lt;10, IF(COUNTIF(concat(TRIM('Переформатированный ответ'!$B$2:$B$200),TRIM('Переформатированный ответ'!$C$2:$C$200)),concat(TRIM(B47),TRIM(C47))) &gt; 0,"Есть","Нет"),"")</f>
        <v>#NAME?</v>
      </c>
      <c r="M47" s="0" t="n">
        <v>2</v>
      </c>
      <c r="O47" s="0" t="s">
        <v>826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0</v>
      </c>
    </row>
    <row r="48" customFormat="false" ht="15.75" hidden="false" customHeight="false" outlineLevel="0" collapsed="false">
      <c r="A48" s="0" t="n">
        <v>43220.2701413542</v>
      </c>
      <c r="B48" s="0" t="s">
        <v>958</v>
      </c>
      <c r="C48" s="0" t="s">
        <v>959</v>
      </c>
      <c r="D48" s="0" t="n">
        <v>10</v>
      </c>
      <c r="E48" s="0" t="n">
        <v>64</v>
      </c>
      <c r="G48" s="0" t="s">
        <v>960</v>
      </c>
      <c r="H48" s="0" t="s">
        <v>961</v>
      </c>
      <c r="I48" s="0" t="s">
        <v>825</v>
      </c>
      <c r="J48" s="0" t="s">
        <v>870</v>
      </c>
      <c r="K48" s="0" t="s">
        <v>39</v>
      </c>
      <c r="L48" s="0" t="str">
        <f aca="false" t="array" ref="L48:L48">IF(D48&lt;10, IF(COUNTIF(concat(TRIM('Переформатированный ответ'!$B$2:$B$200),TRIM('Переформатированный ответ'!$C$2:$C$200)),concat(TRIM(B48),TRIM(C48))) &gt; 0,"Есть","Нет"),"")</f>
        <v/>
      </c>
      <c r="M48" s="0" t="n">
        <v>-1</v>
      </c>
    </row>
    <row r="49" customFormat="false" ht="15.75" hidden="false" customHeight="false" outlineLevel="0" collapsed="false">
      <c r="A49" s="0" t="n">
        <v>43220.2772982986</v>
      </c>
      <c r="B49" s="0" t="s">
        <v>962</v>
      </c>
      <c r="C49" s="0" t="s">
        <v>350</v>
      </c>
      <c r="D49" s="0" t="n">
        <v>8</v>
      </c>
      <c r="E49" s="0" t="n">
        <v>117</v>
      </c>
      <c r="G49" s="0" t="s">
        <v>963</v>
      </c>
      <c r="H49" s="0" t="s">
        <v>352</v>
      </c>
      <c r="I49" s="0" t="s">
        <v>846</v>
      </c>
      <c r="J49" s="0" t="s">
        <v>834</v>
      </c>
      <c r="K49" s="0" t="s">
        <v>39</v>
      </c>
      <c r="L49" s="0" t="e">
        <f aca="false" t="array" ref="L49:L49">IF(D49&lt;10, IF(COUNTIF(concat(TRIM('Переформатированный ответ'!$B$2:$B$200),TRIM('Переформатированный ответ'!$C$2:$C$200)),concat(TRIM(B49),TRIM(C49))) &gt; 0,"Есть","Нет"),"")</f>
        <v>#NAME?</v>
      </c>
      <c r="M49" s="0" t="n">
        <v>2</v>
      </c>
      <c r="O49" s="0" t="s">
        <v>846</v>
      </c>
      <c r="Q49" s="0" t="n">
        <v>0</v>
      </c>
      <c r="R49" s="0" t="n">
        <v>1</v>
      </c>
      <c r="S49" s="0" t="n">
        <v>1</v>
      </c>
      <c r="T49" s="0" t="n">
        <v>0</v>
      </c>
    </row>
    <row r="50" customFormat="false" ht="15.75" hidden="false" customHeight="false" outlineLevel="0" collapsed="false">
      <c r="A50" s="0" t="n">
        <v>43220.2822944329</v>
      </c>
      <c r="B50" s="0" t="s">
        <v>65</v>
      </c>
      <c r="C50" s="0" t="s">
        <v>66</v>
      </c>
      <c r="D50" s="0" t="n">
        <v>9</v>
      </c>
      <c r="E50" s="0" t="n">
        <v>64</v>
      </c>
      <c r="G50" s="0" t="s">
        <v>964</v>
      </c>
      <c r="H50" s="0" t="s">
        <v>69</v>
      </c>
      <c r="I50" s="0" t="s">
        <v>130</v>
      </c>
      <c r="J50" s="0" t="s">
        <v>870</v>
      </c>
      <c r="K50" s="0" t="s">
        <v>39</v>
      </c>
      <c r="L50" s="0" t="e">
        <f aca="false" t="array" ref="L50:L50">IF(D50&lt;10, IF(COUNTIF(concat(TRIM('Переформатированный ответ'!$B$2:$B$200),TRIM('Переформатированный ответ'!$C$2:$C$200)),concat(TRIM(B50),TRIM(C50))) &gt; 0,"Есть","Нет"),"")</f>
        <v>#NAME?</v>
      </c>
      <c r="M50" s="0" t="n">
        <v>2</v>
      </c>
      <c r="O50" s="0" t="s">
        <v>130</v>
      </c>
      <c r="Q50" s="0" t="n">
        <v>1</v>
      </c>
      <c r="R50" s="0" t="n">
        <v>1</v>
      </c>
      <c r="S50" s="0" t="n">
        <v>1</v>
      </c>
      <c r="T50" s="0" t="n">
        <v>1</v>
      </c>
      <c r="U50" s="0" t="n">
        <v>1</v>
      </c>
    </row>
    <row r="51" customFormat="false" ht="15.75" hidden="false" customHeight="false" outlineLevel="0" collapsed="false">
      <c r="A51" s="0" t="n">
        <v>43220.3440784028</v>
      </c>
      <c r="B51" s="0" t="s">
        <v>965</v>
      </c>
      <c r="C51" s="0" t="s">
        <v>350</v>
      </c>
      <c r="D51" s="0" t="n">
        <v>10</v>
      </c>
      <c r="E51" s="0" t="n">
        <v>149</v>
      </c>
      <c r="G51" s="0" t="s">
        <v>966</v>
      </c>
      <c r="H51" s="0" t="s">
        <v>967</v>
      </c>
      <c r="I51" s="0" t="s">
        <v>825</v>
      </c>
      <c r="J51" s="0" t="s">
        <v>848</v>
      </c>
      <c r="K51" s="0" t="s">
        <v>39</v>
      </c>
      <c r="L51" s="0" t="str">
        <f aca="false" t="array" ref="L51:L51">IF(D51&lt;10, IF(COUNTIF(concat(TRIM('Переформатированный ответ'!$B$2:$B$200),TRIM('Переформатированный ответ'!$C$2:$C$200)),concat(TRIM(B51),TRIM(C51))) &gt; 0,"Есть","Нет"),"")</f>
        <v/>
      </c>
      <c r="M51" s="0" t="n">
        <v>2</v>
      </c>
      <c r="O51" s="0" t="s">
        <v>825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5.75" hidden="false" customHeight="false" outlineLevel="0" collapsed="false">
      <c r="A52" s="0" t="n">
        <v>43220.3682816782</v>
      </c>
      <c r="B52" s="0" t="s">
        <v>968</v>
      </c>
      <c r="C52" s="0" t="s">
        <v>479</v>
      </c>
      <c r="D52" s="0" t="n">
        <v>8</v>
      </c>
      <c r="E52" s="0" t="n">
        <v>146</v>
      </c>
      <c r="G52" s="0" t="s">
        <v>969</v>
      </c>
      <c r="H52" s="0" t="s">
        <v>970</v>
      </c>
      <c r="I52" s="0" t="s">
        <v>825</v>
      </c>
      <c r="J52" s="0" t="s">
        <v>850</v>
      </c>
      <c r="K52" s="0" t="s">
        <v>827</v>
      </c>
      <c r="L52" s="0" t="e">
        <f aca="false" t="array" ref="L52:L52">IF(D52&lt;10, IF(COUNTIF(concat(TRIM('Переформатированный ответ'!$B$2:$B$200),TRIM('Переформатированный ответ'!$C$2:$C$200)),concat(TRIM(B52),TRIM(C52))) &gt; 0,"Есть","Нет"),"")</f>
        <v>#NAME?</v>
      </c>
      <c r="M52" s="0" t="n">
        <v>2</v>
      </c>
      <c r="O52" s="0" t="s">
        <v>825</v>
      </c>
      <c r="Q52" s="0" t="n">
        <v>1</v>
      </c>
      <c r="R52" s="0" t="n">
        <v>1</v>
      </c>
      <c r="S52" s="0" t="n">
        <v>1</v>
      </c>
      <c r="T52" s="0" t="n">
        <v>1</v>
      </c>
      <c r="U52" s="0" t="n">
        <v>1</v>
      </c>
    </row>
    <row r="53" customFormat="false" ht="15.75" hidden="false" customHeight="false" outlineLevel="0" collapsed="false">
      <c r="A53" s="0" t="n">
        <v>43220.4017922801</v>
      </c>
      <c r="B53" s="0" t="s">
        <v>971</v>
      </c>
      <c r="C53" s="0" t="s">
        <v>506</v>
      </c>
      <c r="D53" s="0" t="n">
        <v>10</v>
      </c>
      <c r="E53" s="0" t="s">
        <v>972</v>
      </c>
      <c r="G53" s="0" t="s">
        <v>973</v>
      </c>
      <c r="H53" s="0" t="s">
        <v>974</v>
      </c>
      <c r="I53" s="0" t="s">
        <v>57</v>
      </c>
      <c r="J53" s="0" t="s">
        <v>860</v>
      </c>
      <c r="K53" s="0" t="s">
        <v>827</v>
      </c>
      <c r="L53" s="0" t="str">
        <f aca="false" t="array" ref="L53:L53">IF(D53&lt;10, IF(COUNTIF(concat(TRIM('Переформатированный ответ'!$B$2:$B$200),TRIM('Переформатированный ответ'!$C$2:$C$200)),concat(TRIM(B53),TRIM(C53))) &gt; 0,"Есть","Нет"),"")</f>
        <v/>
      </c>
      <c r="M53" s="0" t="n">
        <v>2</v>
      </c>
      <c r="O53" s="0" t="s">
        <v>57</v>
      </c>
      <c r="Q53" s="0" t="n">
        <v>1</v>
      </c>
      <c r="R53" s="0" t="n">
        <v>1</v>
      </c>
      <c r="S53" s="0" t="n">
        <v>1</v>
      </c>
      <c r="T53" s="0" t="n">
        <v>1</v>
      </c>
      <c r="U53" s="0" t="n">
        <v>1</v>
      </c>
    </row>
    <row r="54" customFormat="false" ht="15.75" hidden="false" customHeight="false" outlineLevel="0" collapsed="false">
      <c r="A54" s="0" t="n">
        <v>43220.4297098148</v>
      </c>
      <c r="B54" s="0" t="s">
        <v>975</v>
      </c>
      <c r="C54" s="0" t="s">
        <v>117</v>
      </c>
      <c r="D54" s="0" t="n">
        <v>8</v>
      </c>
      <c r="E54" s="0" t="n">
        <v>19</v>
      </c>
      <c r="G54" s="0" t="s">
        <v>39</v>
      </c>
      <c r="H54" s="0" t="s">
        <v>976</v>
      </c>
      <c r="I54" s="0" t="s">
        <v>826</v>
      </c>
      <c r="J54" s="0" t="s">
        <v>826</v>
      </c>
      <c r="K54" s="0" t="s">
        <v>39</v>
      </c>
      <c r="L54" s="0" t="e">
        <f aca="false" t="array" ref="L54:L54">IF(D54&lt;10, IF(COUNTIF(concat(TRIM('Переформатированный ответ'!$B$2:$B$200),TRIM('Переформатированный ответ'!$C$2:$C$200)),concat(TRIM(B54),TRIM(C54))) &gt; 0,"Есть","Нет"),"")</f>
        <v>#NAME?</v>
      </c>
      <c r="M54" s="0" t="n">
        <v>1</v>
      </c>
      <c r="O54" s="0" t="s">
        <v>826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5.75" hidden="false" customHeight="false" outlineLevel="0" collapsed="false">
      <c r="A55" s="0" t="n">
        <v>43220.5693318056</v>
      </c>
      <c r="B55" s="0" t="s">
        <v>977</v>
      </c>
      <c r="C55" s="0" t="s">
        <v>978</v>
      </c>
      <c r="D55" s="0" t="n">
        <v>10</v>
      </c>
      <c r="E55" s="0" t="s">
        <v>979</v>
      </c>
      <c r="F55" s="0" t="s">
        <v>980</v>
      </c>
      <c r="G55" s="0" t="s">
        <v>981</v>
      </c>
      <c r="H55" s="0" t="s">
        <v>982</v>
      </c>
      <c r="I55" s="0" t="s">
        <v>825</v>
      </c>
      <c r="J55" s="0" t="s">
        <v>850</v>
      </c>
      <c r="K55" s="0" t="s">
        <v>39</v>
      </c>
      <c r="L55" s="0" t="str">
        <f aca="false" t="array" ref="L55:L55">IF(D55&lt;10, IF(COUNTIF(concat(TRIM('Переформатированный ответ'!$B$2:$B$200),TRIM('Переформатированный ответ'!$C$2:$C$200)),concat(TRIM(B55),TRIM(C55))) &gt; 0,"Есть","Нет"),"")</f>
        <v/>
      </c>
      <c r="M55" s="0" t="n">
        <v>2</v>
      </c>
      <c r="O55" s="0" t="s">
        <v>825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</row>
    <row r="56" customFormat="false" ht="15.75" hidden="false" customHeight="false" outlineLevel="0" collapsed="false">
      <c r="A56" s="0" t="n">
        <v>43220.5751695602</v>
      </c>
      <c r="B56" s="0" t="s">
        <v>983</v>
      </c>
      <c r="C56" s="0" t="s">
        <v>38</v>
      </c>
      <c r="D56" s="0" t="n">
        <v>10</v>
      </c>
      <c r="E56" s="0" t="s">
        <v>984</v>
      </c>
      <c r="F56" s="0" t="s">
        <v>985</v>
      </c>
      <c r="G56" s="0" t="s">
        <v>986</v>
      </c>
      <c r="H56" s="0" t="s">
        <v>987</v>
      </c>
      <c r="I56" s="0" t="s">
        <v>825</v>
      </c>
      <c r="J56" s="0" t="s">
        <v>850</v>
      </c>
      <c r="K56" s="0" t="s">
        <v>39</v>
      </c>
      <c r="L56" s="0" t="str">
        <f aca="false" t="array" ref="L56:L56">IF(D56&lt;10, IF(COUNTIF(concat(TRIM('Переформатированный ответ'!$B$2:$B$200),TRIM('Переформатированный ответ'!$C$2:$C$200)),concat(TRIM(B56),TRIM(C56))) &gt; 0,"Есть","Нет"),"")</f>
        <v/>
      </c>
      <c r="M56" s="0" t="n">
        <v>2</v>
      </c>
      <c r="O56" s="0" t="s">
        <v>825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0</v>
      </c>
    </row>
    <row r="57" customFormat="false" ht="15.75" hidden="false" customHeight="false" outlineLevel="0" collapsed="false">
      <c r="A57" s="0" t="n">
        <v>43220.5871779745</v>
      </c>
      <c r="B57" s="0" t="s">
        <v>988</v>
      </c>
      <c r="C57" s="0" t="s">
        <v>989</v>
      </c>
      <c r="D57" s="0" t="n">
        <v>7</v>
      </c>
      <c r="E57" s="0" t="n">
        <v>92</v>
      </c>
      <c r="F57" s="0" t="s">
        <v>174</v>
      </c>
      <c r="G57" s="0" t="s">
        <v>39</v>
      </c>
      <c r="H57" s="0" t="s">
        <v>990</v>
      </c>
      <c r="I57" s="0" t="s">
        <v>130</v>
      </c>
      <c r="J57" s="0" t="s">
        <v>870</v>
      </c>
      <c r="K57" s="0" t="s">
        <v>39</v>
      </c>
      <c r="L57" s="0" t="e">
        <f aca="false" t="array" ref="L57:L57">IF(D57&lt;10, IF(COUNTIF(concat(TRIM('Переформатированный ответ'!$B$2:$B$200),TRIM('Переформатированный ответ'!$C$2:$C$200)),concat(TRIM(B57),TRIM(C57))) &gt; 0,"Есть","Нет"),"")</f>
        <v>#NAME?</v>
      </c>
      <c r="M57" s="0" t="n">
        <v>2</v>
      </c>
      <c r="O57" s="0" t="s">
        <v>130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5.75" hidden="false" customHeight="false" outlineLevel="0" collapsed="false">
      <c r="A58" s="0" t="n">
        <v>43220.5873344907</v>
      </c>
      <c r="B58" s="0" t="s">
        <v>253</v>
      </c>
      <c r="C58" s="0" t="s">
        <v>254</v>
      </c>
      <c r="D58" s="0" t="n">
        <v>8</v>
      </c>
      <c r="E58" s="0" t="n">
        <v>139</v>
      </c>
      <c r="G58" s="0" t="s">
        <v>991</v>
      </c>
      <c r="H58" s="0" t="s">
        <v>992</v>
      </c>
      <c r="I58" s="0" t="s">
        <v>846</v>
      </c>
      <c r="J58" s="0" t="s">
        <v>887</v>
      </c>
      <c r="K58" s="0" t="s">
        <v>827</v>
      </c>
      <c r="L58" s="0" t="e">
        <f aca="false" t="array" ref="L58:L58">IF(D58&lt;10, IF(COUNTIF(concat(TRIM('Переформатированный ответ'!$B$2:$B$200),TRIM('Переформатированный ответ'!$C$2:$C$200)),concat(TRIM(B58),TRIM(C58))) &gt; 0,"Есть","Нет"),"")</f>
        <v>#NAME?</v>
      </c>
      <c r="M58" s="0" t="n">
        <v>2</v>
      </c>
      <c r="O58" s="0" t="s">
        <v>846</v>
      </c>
      <c r="Q58" s="0" t="n">
        <v>1</v>
      </c>
      <c r="R58" s="0" t="n">
        <v>1</v>
      </c>
      <c r="S58" s="0" t="n">
        <v>1</v>
      </c>
      <c r="T58" s="0" t="n">
        <v>1</v>
      </c>
    </row>
    <row r="59" customFormat="false" ht="15.75" hidden="false" customHeight="false" outlineLevel="0" collapsed="false">
      <c r="A59" s="0" t="n">
        <v>43220.5929749537</v>
      </c>
      <c r="B59" s="0" t="s">
        <v>993</v>
      </c>
      <c r="C59" s="0" t="s">
        <v>193</v>
      </c>
      <c r="D59" s="0" t="n">
        <v>10</v>
      </c>
      <c r="E59" s="0" t="n">
        <v>117</v>
      </c>
      <c r="G59" s="0" t="s">
        <v>994</v>
      </c>
      <c r="H59" s="0" t="s">
        <v>995</v>
      </c>
      <c r="I59" s="0" t="s">
        <v>833</v>
      </c>
      <c r="J59" s="0" t="s">
        <v>833</v>
      </c>
      <c r="K59" s="0" t="s">
        <v>39</v>
      </c>
      <c r="L59" s="0" t="str">
        <f aca="false" t="array" ref="L59:L59">IF(D59&lt;10, IF(COUNTIF(concat(TRIM('Переформатированный ответ'!$B$2:$B$200),TRIM('Переформатированный ответ'!$C$2:$C$200)),concat(TRIM(B59),TRIM(C59))) &gt; 0,"Есть","Нет"),"")</f>
        <v/>
      </c>
      <c r="M59" s="0" t="n">
        <v>2</v>
      </c>
      <c r="O59" s="0" t="s">
        <v>833</v>
      </c>
      <c r="Q59" s="0" t="n">
        <v>1</v>
      </c>
      <c r="R59" s="0" t="n">
        <v>1</v>
      </c>
      <c r="S59" s="0" t="n">
        <v>1</v>
      </c>
      <c r="T59" s="0" t="n">
        <v>1</v>
      </c>
      <c r="U59" s="0" t="n">
        <v>1</v>
      </c>
    </row>
    <row r="60" customFormat="false" ht="15.75" hidden="false" customHeight="false" outlineLevel="0" collapsed="false">
      <c r="A60" s="0" t="n">
        <v>43220.6212729745</v>
      </c>
      <c r="B60" s="0" t="s">
        <v>996</v>
      </c>
      <c r="C60" s="0" t="s">
        <v>13</v>
      </c>
      <c r="D60" s="0" t="n">
        <v>10</v>
      </c>
      <c r="E60" s="0" t="n">
        <v>19</v>
      </c>
      <c r="G60" s="0" t="s">
        <v>15</v>
      </c>
      <c r="H60" s="0" t="s">
        <v>16</v>
      </c>
      <c r="I60" s="0" t="s">
        <v>838</v>
      </c>
      <c r="J60" s="0" t="s">
        <v>887</v>
      </c>
      <c r="K60" s="0" t="s">
        <v>39</v>
      </c>
      <c r="L60" s="0" t="str">
        <f aca="false" t="array" ref="L60:L60">IF(D60&lt;10, IF(COUNTIF(concat(TRIM('Переформатированный ответ'!$B$2:$B$200),TRIM('Переформатированный ответ'!$C$2:$C$200)),concat(TRIM(B60),TRIM(C60))) &gt; 0,"Есть","Нет"),"")</f>
        <v/>
      </c>
      <c r="M60" s="0" t="n">
        <v>2</v>
      </c>
      <c r="O60" s="0" t="s">
        <v>838</v>
      </c>
      <c r="Q60" s="0" t="n">
        <v>1</v>
      </c>
      <c r="R60" s="0" t="n">
        <v>1</v>
      </c>
      <c r="S60" s="0" t="n">
        <v>1</v>
      </c>
      <c r="T60" s="0" t="n">
        <v>0</v>
      </c>
      <c r="U60" s="0" t="n">
        <v>1</v>
      </c>
    </row>
    <row r="61" customFormat="false" ht="15.75" hidden="false" customHeight="false" outlineLevel="0" collapsed="false">
      <c r="A61" s="0" t="n">
        <v>43220.6740641667</v>
      </c>
      <c r="B61" s="0" t="s">
        <v>997</v>
      </c>
      <c r="C61" s="0" t="s">
        <v>285</v>
      </c>
      <c r="D61" s="0" t="n">
        <v>10</v>
      </c>
      <c r="E61" s="0" t="n">
        <v>140</v>
      </c>
      <c r="G61" s="0" t="s">
        <v>998</v>
      </c>
      <c r="H61" s="0" t="s">
        <v>999</v>
      </c>
      <c r="I61" s="0" t="s">
        <v>826</v>
      </c>
      <c r="J61" s="0" t="s">
        <v>834</v>
      </c>
      <c r="K61" s="0" t="s">
        <v>39</v>
      </c>
      <c r="L61" s="0" t="str">
        <f aca="false" t="array" ref="L61:L61">IF(D61&lt;10, IF(COUNTIF(concat(TRIM('Переформатированный ответ'!$B$2:$B$200),TRIM('Переформатированный ответ'!$C$2:$C$200)),concat(TRIM(B61),TRIM(C61))) &gt; 0,"Есть","Нет"),"")</f>
        <v/>
      </c>
      <c r="M61" s="0" t="n">
        <v>2</v>
      </c>
      <c r="O61" s="0" t="s">
        <v>826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</row>
    <row r="62" customFormat="false" ht="15.75" hidden="false" customHeight="false" outlineLevel="0" collapsed="false">
      <c r="A62" s="0" t="n">
        <v>43220.7203683102</v>
      </c>
      <c r="B62" s="0" t="s">
        <v>1000</v>
      </c>
      <c r="C62" s="0" t="s">
        <v>1001</v>
      </c>
      <c r="D62" s="0" t="n">
        <v>9</v>
      </c>
      <c r="E62" s="0" t="n">
        <v>117</v>
      </c>
      <c r="G62" s="0" t="s">
        <v>1002</v>
      </c>
      <c r="H62" s="0" t="s">
        <v>1003</v>
      </c>
      <c r="I62" s="0" t="s">
        <v>130</v>
      </c>
      <c r="J62" s="0" t="s">
        <v>833</v>
      </c>
      <c r="K62" s="0" t="s">
        <v>827</v>
      </c>
      <c r="L62" s="0" t="e">
        <f aca="false" t="array" ref="L62:L62">IF(D62&lt;10, IF(COUNTIF(concat(TRIM('Переформатированный ответ'!$B$2:$B$200),TRIM('Переформатированный ответ'!$C$2:$C$200)),concat(TRIM(B62),TRIM(C62))) &gt; 0,"Есть","Нет"),"")</f>
        <v>#NAME?</v>
      </c>
      <c r="M62" s="0" t="n">
        <v>-1</v>
      </c>
    </row>
    <row r="63" customFormat="false" ht="15.75" hidden="false" customHeight="false" outlineLevel="0" collapsed="false">
      <c r="A63" s="0" t="n">
        <v>43220.7314378357</v>
      </c>
      <c r="B63" s="0" t="s">
        <v>1004</v>
      </c>
      <c r="C63" s="0" t="s">
        <v>1005</v>
      </c>
      <c r="D63" s="0" t="n">
        <v>10</v>
      </c>
      <c r="E63" s="0" t="n">
        <v>117</v>
      </c>
      <c r="G63" s="0" t="s">
        <v>1006</v>
      </c>
      <c r="H63" s="0" t="s">
        <v>1007</v>
      </c>
      <c r="I63" s="0" t="s">
        <v>57</v>
      </c>
      <c r="J63" s="0" t="s">
        <v>870</v>
      </c>
      <c r="K63" s="0" t="s">
        <v>827</v>
      </c>
      <c r="L63" s="0" t="str">
        <f aca="false" t="array" ref="L63:L63">IF(D63&lt;10, IF(COUNTIF(concat(TRIM('Переформатированный ответ'!$B$2:$B$200),TRIM('Переформатированный ответ'!$C$2:$C$200)),concat(TRIM(B63),TRIM(C63))) &gt; 0,"Есть","Нет"),"")</f>
        <v/>
      </c>
      <c r="M63" s="0" t="n">
        <v>2</v>
      </c>
      <c r="O63" s="0" t="s">
        <v>57</v>
      </c>
      <c r="Q63" s="0" t="n">
        <v>1</v>
      </c>
      <c r="R63" s="0" t="n">
        <v>1</v>
      </c>
      <c r="S63" s="0" t="n">
        <v>1</v>
      </c>
      <c r="T63" s="0" t="n">
        <v>1</v>
      </c>
      <c r="U63" s="0" t="n">
        <v>1</v>
      </c>
    </row>
    <row r="64" customFormat="false" ht="15.75" hidden="false" customHeight="false" outlineLevel="0" collapsed="false">
      <c r="A64" s="0" t="n">
        <v>43220.7560487153</v>
      </c>
      <c r="B64" s="0" t="s">
        <v>1008</v>
      </c>
      <c r="C64" s="0" t="s">
        <v>326</v>
      </c>
      <c r="D64" s="0" t="n">
        <v>7</v>
      </c>
      <c r="E64" s="0" t="n">
        <v>117</v>
      </c>
      <c r="G64" s="0" t="s">
        <v>1009</v>
      </c>
      <c r="H64" s="0" t="s">
        <v>1010</v>
      </c>
      <c r="I64" s="0" t="s">
        <v>850</v>
      </c>
      <c r="J64" s="0" t="s">
        <v>860</v>
      </c>
      <c r="K64" s="0" t="s">
        <v>39</v>
      </c>
      <c r="L64" s="0" t="e">
        <f aca="false" t="array" ref="L64:L64">IF(D64&lt;10, IF(COUNTIF(concat(TRIM('Переформатированный ответ'!$B$2:$B$200),TRIM('Переформатированный ответ'!$C$2:$C$200)),concat(TRIM(B64),TRIM(C64))) &gt; 0,"Есть","Нет"),"")</f>
        <v>#NAME?</v>
      </c>
      <c r="M64" s="0" t="n">
        <v>2</v>
      </c>
      <c r="O64" s="0" t="s">
        <v>850</v>
      </c>
      <c r="Q64" s="0" t="n">
        <v>1</v>
      </c>
      <c r="R64" s="0" t="n">
        <v>1</v>
      </c>
      <c r="S64" s="0" t="n">
        <v>0</v>
      </c>
      <c r="T64" s="0" t="n">
        <v>1</v>
      </c>
      <c r="U64" s="0" t="n">
        <v>1</v>
      </c>
    </row>
    <row r="65" customFormat="false" ht="15.75" hidden="false" customHeight="false" outlineLevel="0" collapsed="false">
      <c r="A65" s="0" t="n">
        <v>43220.7591743519</v>
      </c>
      <c r="B65" s="0" t="s">
        <v>1011</v>
      </c>
      <c r="C65" s="0" t="s">
        <v>1012</v>
      </c>
      <c r="D65" s="0" t="n">
        <v>10</v>
      </c>
      <c r="E65" s="0" t="n">
        <v>149</v>
      </c>
      <c r="G65" s="0" t="s">
        <v>1013</v>
      </c>
      <c r="H65" s="0" t="s">
        <v>1014</v>
      </c>
      <c r="I65" s="0" t="s">
        <v>825</v>
      </c>
      <c r="J65" s="0" t="s">
        <v>870</v>
      </c>
      <c r="K65" s="0" t="s">
        <v>39</v>
      </c>
      <c r="L65" s="0" t="str">
        <f aca="false" t="array" ref="L65:L65">IF(D65&lt;10, IF(COUNTIF(concat(TRIM('Переформатированный ответ'!$B$2:$B$200),TRIM('Переформатированный ответ'!$C$2:$C$200)),concat(TRIM(B65),TRIM(C65))) &gt; 0,"Есть","Нет"),"")</f>
        <v/>
      </c>
      <c r="M65" s="0" t="n">
        <v>2</v>
      </c>
      <c r="O65" s="0" t="s">
        <v>825</v>
      </c>
      <c r="Q65" s="0" t="n">
        <v>1</v>
      </c>
      <c r="R65" s="0" t="n">
        <v>1</v>
      </c>
      <c r="S65" s="0" t="n">
        <v>1</v>
      </c>
      <c r="T65" s="0" t="n">
        <v>1</v>
      </c>
      <c r="U65" s="0" t="n">
        <v>1</v>
      </c>
    </row>
    <row r="66" customFormat="false" ht="15.75" hidden="false" customHeight="false" outlineLevel="0" collapsed="false">
      <c r="A66" s="0" t="n">
        <v>43220.7594297107</v>
      </c>
      <c r="B66" s="0" t="s">
        <v>1015</v>
      </c>
      <c r="C66" s="0" t="s">
        <v>1016</v>
      </c>
      <c r="D66" s="0" t="n">
        <v>10</v>
      </c>
      <c r="E66" s="0" t="n">
        <v>62</v>
      </c>
      <c r="G66" s="0" t="s">
        <v>1017</v>
      </c>
      <c r="H66" s="0" t="s">
        <v>1018</v>
      </c>
      <c r="I66" s="0" t="s">
        <v>838</v>
      </c>
      <c r="J66" s="0" t="s">
        <v>887</v>
      </c>
      <c r="K66" s="0" t="s">
        <v>39</v>
      </c>
      <c r="L66" s="0" t="str">
        <f aca="false" t="array" ref="L66:L66">IF(D66&lt;10, IF(COUNTIF(concat(TRIM('Переформатированный ответ'!$B$2:$B$200),TRIM('Переформатированный ответ'!$C$2:$C$200)),concat(TRIM(B66),TRIM(C66))) &gt; 0,"Есть","Нет"),"")</f>
        <v/>
      </c>
      <c r="M66" s="0" t="n">
        <v>2</v>
      </c>
      <c r="O66" s="0" t="s">
        <v>838</v>
      </c>
      <c r="Q66" s="0" t="n">
        <v>1</v>
      </c>
      <c r="R66" s="0" t="n">
        <v>1</v>
      </c>
      <c r="S66" s="0" t="n">
        <v>1</v>
      </c>
      <c r="T66" s="0" t="n">
        <v>1</v>
      </c>
      <c r="U66" s="0" t="n">
        <v>1</v>
      </c>
    </row>
    <row r="67" customFormat="false" ht="15.75" hidden="false" customHeight="false" outlineLevel="0" collapsed="false">
      <c r="A67" s="0" t="n">
        <v>43220.7599951389</v>
      </c>
      <c r="B67" s="0" t="s">
        <v>1019</v>
      </c>
      <c r="C67" s="0" t="s">
        <v>52</v>
      </c>
      <c r="D67" s="0" t="n">
        <v>10</v>
      </c>
      <c r="E67" s="0" t="n">
        <v>64</v>
      </c>
      <c r="G67" s="0" t="s">
        <v>1020</v>
      </c>
      <c r="H67" s="0" t="s">
        <v>1021</v>
      </c>
      <c r="I67" s="0" t="s">
        <v>865</v>
      </c>
      <c r="J67" s="0" t="s">
        <v>850</v>
      </c>
      <c r="K67" s="0" t="s">
        <v>827</v>
      </c>
      <c r="L67" s="0" t="str">
        <f aca="false" t="array" ref="L67:L67">IF(D67&lt;10, IF(COUNTIF(concat(TRIM('Переформатированный ответ'!$B$2:$B$200),TRIM('Переформатированный ответ'!$C$2:$C$200)),concat(TRIM(B67),TRIM(C67))) &gt; 0,"Есть","Нет"),"")</f>
        <v/>
      </c>
      <c r="M67" s="0" t="n">
        <v>2</v>
      </c>
      <c r="O67" s="0" t="s">
        <v>865</v>
      </c>
      <c r="Q67" s="0" t="n">
        <v>1</v>
      </c>
      <c r="R67" s="0" t="n">
        <v>1</v>
      </c>
      <c r="S67" s="0" t="n">
        <v>1</v>
      </c>
      <c r="T67" s="0" t="n">
        <v>1</v>
      </c>
      <c r="U67" s="0" t="n">
        <v>0</v>
      </c>
    </row>
    <row r="68" customFormat="false" ht="15.75" hidden="false" customHeight="false" outlineLevel="0" collapsed="false">
      <c r="A68" s="0" t="n">
        <v>43220.7618344676</v>
      </c>
      <c r="B68" s="0" t="s">
        <v>341</v>
      </c>
      <c r="C68" s="0" t="s">
        <v>342</v>
      </c>
      <c r="D68" s="0" t="n">
        <v>9</v>
      </c>
      <c r="E68" s="0" t="n">
        <v>64</v>
      </c>
      <c r="G68" s="0" t="s">
        <v>1022</v>
      </c>
      <c r="H68" s="0" t="s">
        <v>1023</v>
      </c>
      <c r="I68" s="0" t="s">
        <v>825</v>
      </c>
      <c r="J68" s="0" t="s">
        <v>846</v>
      </c>
      <c r="K68" s="0" t="s">
        <v>39</v>
      </c>
      <c r="L68" s="0" t="e">
        <f aca="false" t="array" ref="L68:L68">IF(D68&lt;10, IF(COUNTIF(concat(TRIM('Переформатированный ответ'!$B$2:$B$200),TRIM('Переформатированный ответ'!$C$2:$C$200)),concat(TRIM(B68),TRIM(C68))) &gt; 0,"Есть","Нет"),"")</f>
        <v>#NAME?</v>
      </c>
      <c r="M68" s="0" t="n">
        <v>2</v>
      </c>
      <c r="O68" s="0" t="s">
        <v>825</v>
      </c>
      <c r="Q68" s="0" t="n">
        <v>1</v>
      </c>
      <c r="R68" s="0" t="n">
        <v>0</v>
      </c>
      <c r="S68" s="0" t="n">
        <v>1</v>
      </c>
      <c r="T68" s="0" t="n">
        <v>0</v>
      </c>
      <c r="U68" s="0" t="n">
        <v>0</v>
      </c>
    </row>
    <row r="69" customFormat="false" ht="15.75" hidden="false" customHeight="false" outlineLevel="0" collapsed="false">
      <c r="A69" s="0" t="n">
        <v>43220.7867796528</v>
      </c>
      <c r="B69" s="0" t="s">
        <v>1024</v>
      </c>
      <c r="C69" s="0" t="s">
        <v>1025</v>
      </c>
      <c r="D69" s="0" t="n">
        <v>9</v>
      </c>
      <c r="E69" s="0" t="n">
        <v>140</v>
      </c>
      <c r="G69" s="0" t="s">
        <v>1026</v>
      </c>
      <c r="H69" s="0" t="s">
        <v>1027</v>
      </c>
      <c r="I69" s="0" t="s">
        <v>825</v>
      </c>
      <c r="J69" s="0" t="s">
        <v>826</v>
      </c>
      <c r="K69" s="0" t="s">
        <v>39</v>
      </c>
      <c r="L69" s="0" t="e">
        <f aca="false" t="array" ref="L69:L69">IF(D69&lt;10, IF(COUNTIF(concat(TRIM('Переформатированный ответ'!$B$2:$B$200),TRIM('Переформатированный ответ'!$C$2:$C$200)),concat(TRIM(B69),TRIM(C69))) &gt; 0,"Есть","Нет"),"")</f>
        <v>#NAME?</v>
      </c>
      <c r="M69" s="0" t="n">
        <v>2</v>
      </c>
      <c r="O69" s="0" t="s">
        <v>825</v>
      </c>
      <c r="Q69" s="0" t="n">
        <v>1</v>
      </c>
      <c r="R69" s="0" t="n">
        <v>0</v>
      </c>
      <c r="S69" s="0" t="n">
        <v>1</v>
      </c>
      <c r="T69" s="0" t="n">
        <v>0</v>
      </c>
      <c r="U69" s="0" t="n">
        <v>1</v>
      </c>
    </row>
    <row r="70" customFormat="false" ht="15.75" hidden="false" customHeight="false" outlineLevel="0" collapsed="false">
      <c r="A70" s="0" t="n">
        <v>43220.7987228357</v>
      </c>
      <c r="B70" s="0" t="s">
        <v>1028</v>
      </c>
      <c r="C70" s="0" t="s">
        <v>275</v>
      </c>
      <c r="D70" s="0" t="n">
        <v>10</v>
      </c>
      <c r="E70" s="0" t="n">
        <v>64</v>
      </c>
      <c r="F70" s="0" t="s">
        <v>1029</v>
      </c>
      <c r="G70" s="0" t="s">
        <v>1030</v>
      </c>
      <c r="H70" s="0" t="s">
        <v>1031</v>
      </c>
      <c r="I70" s="0" t="s">
        <v>130</v>
      </c>
      <c r="J70" s="0" t="s">
        <v>834</v>
      </c>
      <c r="K70" s="0" t="s">
        <v>827</v>
      </c>
      <c r="L70" s="0" t="str">
        <f aca="false" t="array" ref="L70:L70">IF(D70&lt;10, IF(COUNTIF(concat(TRIM('Переформатированный ответ'!$B$2:$B$200),TRIM('Переформатированный ответ'!$C$2:$C$200)),concat(TRIM(B70),TRIM(C70))) &gt; 0,"Есть","Нет"),"")</f>
        <v/>
      </c>
      <c r="M70" s="0" t="n">
        <v>2</v>
      </c>
      <c r="N70" s="0" t="s">
        <v>1032</v>
      </c>
      <c r="O70" s="0" t="s">
        <v>130</v>
      </c>
      <c r="Q70" s="0" t="n">
        <v>1</v>
      </c>
      <c r="R70" s="0" t="n">
        <v>1</v>
      </c>
      <c r="S70" s="0" t="n">
        <v>1</v>
      </c>
      <c r="T70" s="0" t="n">
        <v>1</v>
      </c>
      <c r="U70" s="0" t="n">
        <v>1</v>
      </c>
    </row>
    <row r="71" customFormat="false" ht="15.75" hidden="false" customHeight="false" outlineLevel="0" collapsed="false">
      <c r="A71" s="0" t="n">
        <v>43220.804375787</v>
      </c>
      <c r="B71" s="0" t="s">
        <v>1033</v>
      </c>
      <c r="C71" s="0" t="s">
        <v>892</v>
      </c>
      <c r="D71" s="0" t="n">
        <v>11</v>
      </c>
      <c r="E71" s="0" t="n">
        <v>19</v>
      </c>
      <c r="G71" s="0" t="s">
        <v>1034</v>
      </c>
      <c r="H71" s="0" t="s">
        <v>1035</v>
      </c>
      <c r="I71" s="0" t="s">
        <v>838</v>
      </c>
      <c r="J71" s="0" t="s">
        <v>887</v>
      </c>
      <c r="K71" s="0" t="s">
        <v>39</v>
      </c>
      <c r="L71" s="0" t="str">
        <f aca="false" t="array" ref="L71:L71">IF(D71&lt;10, IF(COUNTIF(concat(TRIM('Переформатированный ответ'!$B$2:$B$200),TRIM('Переформатированный ответ'!$C$2:$C$200)),concat(TRIM(B71),TRIM(C71))) &gt; 0,"Есть","Нет"),"")</f>
        <v/>
      </c>
      <c r="M71" s="0" t="n">
        <v>2</v>
      </c>
      <c r="N71" s="0" t="s">
        <v>1036</v>
      </c>
      <c r="O71" s="0" t="s">
        <v>838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5.75" hidden="false" customHeight="false" outlineLevel="0" collapsed="false">
      <c r="A72" s="0" t="n">
        <v>43220.811456088</v>
      </c>
      <c r="B72" s="0" t="s">
        <v>1037</v>
      </c>
      <c r="C72" s="0" t="s">
        <v>621</v>
      </c>
      <c r="D72" s="0" t="n">
        <v>10</v>
      </c>
      <c r="E72" s="0" t="n">
        <v>62</v>
      </c>
      <c r="G72" s="0" t="s">
        <v>1038</v>
      </c>
      <c r="H72" s="0" t="s">
        <v>1039</v>
      </c>
      <c r="I72" s="0" t="s">
        <v>838</v>
      </c>
      <c r="J72" s="0" t="s">
        <v>887</v>
      </c>
      <c r="K72" s="0" t="s">
        <v>39</v>
      </c>
      <c r="L72" s="0" t="str">
        <f aca="false" t="array" ref="L72:L72">IF(D72&lt;10, IF(COUNTIF(concat(TRIM('Переформатированный ответ'!$B$2:$B$200),TRIM('Переформатированный ответ'!$C$2:$C$200)),concat(TRIM(B72),TRIM(C72))) &gt; 0,"Есть","Нет"),"")</f>
        <v/>
      </c>
      <c r="M72" s="0" t="n">
        <v>2</v>
      </c>
      <c r="O72" s="0" t="s">
        <v>838</v>
      </c>
      <c r="Q72" s="0" t="n">
        <v>1</v>
      </c>
      <c r="R72" s="0" t="n">
        <v>1</v>
      </c>
      <c r="S72" s="0" t="n">
        <v>0</v>
      </c>
      <c r="T72" s="0" t="n">
        <v>1</v>
      </c>
      <c r="U72" s="0" t="n">
        <v>1</v>
      </c>
    </row>
    <row r="73" customFormat="false" ht="15.75" hidden="false" customHeight="false" outlineLevel="0" collapsed="false">
      <c r="A73" s="0" t="n">
        <v>43220.8261646296</v>
      </c>
      <c r="B73" s="0" t="s">
        <v>1040</v>
      </c>
      <c r="C73" s="0" t="s">
        <v>1041</v>
      </c>
      <c r="D73" s="0" t="n">
        <v>10</v>
      </c>
      <c r="E73" s="0" t="n">
        <v>117</v>
      </c>
      <c r="F73" s="0" t="s">
        <v>1042</v>
      </c>
      <c r="G73" s="0" t="s">
        <v>1043</v>
      </c>
      <c r="H73" s="0" t="s">
        <v>1044</v>
      </c>
      <c r="I73" s="0" t="s">
        <v>130</v>
      </c>
      <c r="J73" s="0" t="s">
        <v>826</v>
      </c>
      <c r="K73" s="0" t="s">
        <v>39</v>
      </c>
      <c r="L73" s="0" t="str">
        <f aca="false" t="array" ref="L73:L73">IF(D73&lt;10, IF(COUNTIF(concat(TRIM('Переформатированный ответ'!$B$2:$B$200),TRIM('Переформатированный ответ'!$C$2:$C$200)),concat(TRIM(B73),TRIM(C73))) &gt; 0,"Есть","Нет"),"")</f>
        <v/>
      </c>
      <c r="M73" s="0" t="n">
        <v>2</v>
      </c>
      <c r="N73" s="0" t="s">
        <v>1045</v>
      </c>
      <c r="O73" s="0" t="s">
        <v>130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5.75" hidden="false" customHeight="false" outlineLevel="0" collapsed="false">
      <c r="A74" s="0" t="n">
        <v>43220.8322591319</v>
      </c>
      <c r="B74" s="0" t="s">
        <v>1046</v>
      </c>
      <c r="C74" s="0" t="s">
        <v>657</v>
      </c>
      <c r="D74" s="0" t="n">
        <v>11</v>
      </c>
      <c r="E74" s="0" t="n">
        <v>17</v>
      </c>
      <c r="G74" s="0" t="s">
        <v>1047</v>
      </c>
      <c r="H74" s="0" t="s">
        <v>1048</v>
      </c>
      <c r="I74" s="0" t="s">
        <v>833</v>
      </c>
      <c r="J74" s="0" t="s">
        <v>870</v>
      </c>
      <c r="K74" s="0" t="s">
        <v>39</v>
      </c>
      <c r="L74" s="0" t="str">
        <f aca="false" t="array" ref="L74:L74">IF(D74&lt;10, IF(COUNTIF(concat(TRIM('Переформатированный ответ'!$B$2:$B$200),TRIM('Переформатированный ответ'!$C$2:$C$200)),concat(TRIM(B74),TRIM(C74))) &gt; 0,"Есть","Нет"),"")</f>
        <v/>
      </c>
      <c r="M74" s="0" t="n">
        <v>2</v>
      </c>
      <c r="O74" s="0" t="s">
        <v>833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5.75" hidden="false" customHeight="false" outlineLevel="0" collapsed="false">
      <c r="A75" s="0" t="n">
        <v>43220.8662196065</v>
      </c>
      <c r="B75" s="0" t="s">
        <v>1049</v>
      </c>
      <c r="C75" s="0" t="s">
        <v>739</v>
      </c>
      <c r="D75" s="0" t="n">
        <v>10</v>
      </c>
      <c r="E75" s="0" t="n">
        <v>64</v>
      </c>
      <c r="G75" s="0" t="s">
        <v>1050</v>
      </c>
      <c r="H75" s="0" t="s">
        <v>1051</v>
      </c>
      <c r="I75" s="0" t="s">
        <v>919</v>
      </c>
      <c r="J75" s="0" t="s">
        <v>850</v>
      </c>
      <c r="K75" s="0" t="s">
        <v>827</v>
      </c>
      <c r="L75" s="0" t="str">
        <f aca="false" t="array" ref="L75:L75">IF(D75&lt;10, IF(COUNTIF(concat(TRIM('Переформатированный ответ'!$B$2:$B$200),TRIM('Переформатированный ответ'!$C$2:$C$200)),concat(TRIM(B75),TRIM(C75))) &gt; 0,"Есть","Нет"),"")</f>
        <v/>
      </c>
      <c r="M75" s="0" t="n">
        <v>-1</v>
      </c>
      <c r="N75" s="0" t="s">
        <v>1052</v>
      </c>
    </row>
    <row r="76" customFormat="false" ht="15.75" hidden="false" customHeight="false" outlineLevel="0" collapsed="false">
      <c r="A76" s="0" t="n">
        <v>43221.2853585764</v>
      </c>
      <c r="B76" s="0" t="s">
        <v>1053</v>
      </c>
      <c r="C76" s="0" t="s">
        <v>52</v>
      </c>
      <c r="D76" s="0" t="n">
        <v>9</v>
      </c>
      <c r="E76" s="0" t="n">
        <v>109</v>
      </c>
      <c r="G76" s="0" t="s">
        <v>1054</v>
      </c>
      <c r="H76" s="0" t="s">
        <v>1055</v>
      </c>
      <c r="I76" s="0" t="s">
        <v>826</v>
      </c>
      <c r="J76" s="0" t="s">
        <v>851</v>
      </c>
      <c r="K76" s="0" t="s">
        <v>827</v>
      </c>
      <c r="L76" s="0" t="e">
        <f aca="false" t="array" ref="L76:L76">IF(D76&lt;10, IF(COUNTIF(concat(TRIM('Переформатированный ответ'!$B$2:$B$200),TRIM('Переформатированный ответ'!$C$2:$C$200)),concat(TRIM(B76),TRIM(C76))) &gt; 0,"Есть","Нет"),"")</f>
        <v>#NAME?</v>
      </c>
      <c r="M76" s="0" t="n">
        <v>1</v>
      </c>
      <c r="N76" s="0" t="s">
        <v>926</v>
      </c>
      <c r="O76" s="0" t="s">
        <v>826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5.75" hidden="false" customHeight="false" outlineLevel="0" collapsed="false">
      <c r="A77" s="0" t="n">
        <v>43221.2993582407</v>
      </c>
      <c r="B77" s="0" t="s">
        <v>997</v>
      </c>
      <c r="C77" s="0" t="s">
        <v>506</v>
      </c>
      <c r="D77" s="0" t="n">
        <v>8</v>
      </c>
      <c r="E77" s="0" t="n">
        <v>149</v>
      </c>
      <c r="G77" s="0" t="s">
        <v>1056</v>
      </c>
      <c r="H77" s="0" t="s">
        <v>1057</v>
      </c>
      <c r="I77" s="0" t="s">
        <v>846</v>
      </c>
      <c r="J77" s="0" t="s">
        <v>860</v>
      </c>
      <c r="K77" s="0" t="s">
        <v>827</v>
      </c>
      <c r="L77" s="0" t="e">
        <f aca="false" t="array" ref="L77:L77">IF(D77&lt;10, IF(COUNTIF(concat(TRIM('Переформатированный ответ'!$B$2:$B$200),TRIM('Переформатированный ответ'!$C$2:$C$200)),concat(TRIM(B77),TRIM(C77))) &gt; 0,"Есть","Нет"),"")</f>
        <v>#NAME?</v>
      </c>
      <c r="M77" s="0" t="n">
        <v>2</v>
      </c>
      <c r="O77" s="0" t="s">
        <v>846</v>
      </c>
      <c r="Q77" s="0" t="n">
        <v>1</v>
      </c>
      <c r="R77" s="0" t="n">
        <v>1</v>
      </c>
      <c r="S77" s="0" t="n">
        <v>1</v>
      </c>
      <c r="T77" s="0" t="n">
        <v>1</v>
      </c>
    </row>
    <row r="78" customFormat="false" ht="15.75" hidden="false" customHeight="false" outlineLevel="0" collapsed="false">
      <c r="A78" s="0" t="n">
        <v>43221.3264223727</v>
      </c>
      <c r="B78" s="0" t="s">
        <v>452</v>
      </c>
      <c r="C78" s="0" t="s">
        <v>22</v>
      </c>
      <c r="D78" s="0" t="n">
        <v>8</v>
      </c>
      <c r="E78" s="0" t="n">
        <v>117</v>
      </c>
      <c r="G78" s="0" t="s">
        <v>1058</v>
      </c>
      <c r="H78" s="0" t="s">
        <v>1059</v>
      </c>
      <c r="I78" s="0" t="s">
        <v>57</v>
      </c>
      <c r="J78" s="0" t="s">
        <v>870</v>
      </c>
      <c r="K78" s="0" t="s">
        <v>827</v>
      </c>
      <c r="L78" s="0" t="e">
        <f aca="false" t="array" ref="L78:L78">IF(D78&lt;10, IF(COUNTIF(concat(TRIM('Переформатированный ответ'!$B$2:$B$200),TRIM('Переформатированный ответ'!$C$2:$C$200)),concat(TRIM(B78),TRIM(C78))) &gt; 0,"Есть","Нет"),"")</f>
        <v>#NAME?</v>
      </c>
      <c r="M78" s="0" t="n">
        <v>2</v>
      </c>
      <c r="O78" s="0" t="s">
        <v>57</v>
      </c>
      <c r="Q78" s="0" t="n">
        <v>1</v>
      </c>
      <c r="R78" s="0" t="n">
        <v>1</v>
      </c>
      <c r="S78" s="0" t="n">
        <v>1</v>
      </c>
      <c r="T78" s="0" t="n">
        <v>1</v>
      </c>
      <c r="U78" s="0" t="n">
        <v>1</v>
      </c>
    </row>
    <row r="79" customFormat="false" ht="15.75" hidden="false" customHeight="false" outlineLevel="0" collapsed="false">
      <c r="A79" s="0" t="n">
        <v>43221.3366987037</v>
      </c>
      <c r="B79" s="0" t="s">
        <v>407</v>
      </c>
      <c r="C79" s="0" t="s">
        <v>52</v>
      </c>
      <c r="D79" s="0" t="n">
        <v>8</v>
      </c>
      <c r="E79" s="0" t="n">
        <v>117</v>
      </c>
      <c r="G79" s="0" t="s">
        <v>1060</v>
      </c>
      <c r="H79" s="0" t="s">
        <v>410</v>
      </c>
      <c r="I79" s="0" t="s">
        <v>825</v>
      </c>
      <c r="J79" s="0" t="s">
        <v>860</v>
      </c>
      <c r="K79" s="0" t="s">
        <v>827</v>
      </c>
      <c r="L79" s="0" t="e">
        <f aca="false" t="array" ref="L79:L79">IF(D79&lt;10, IF(COUNTIF(concat(TRIM('Переформатированный ответ'!$B$2:$B$200),TRIM('Переформатированный ответ'!$C$2:$C$200)),concat(TRIM(B79),TRIM(C79))) &gt; 0,"Есть","Нет"),"")</f>
        <v>#NAME?</v>
      </c>
      <c r="M79" s="0" t="n">
        <v>2</v>
      </c>
      <c r="O79" s="0" t="s">
        <v>825</v>
      </c>
      <c r="Q79" s="0" t="n">
        <v>1</v>
      </c>
      <c r="R79" s="0" t="n">
        <v>1</v>
      </c>
      <c r="S79" s="0" t="n">
        <v>1</v>
      </c>
      <c r="T79" s="0" t="n">
        <v>1</v>
      </c>
      <c r="U79" s="0" t="n">
        <v>1</v>
      </c>
    </row>
    <row r="80" customFormat="false" ht="15.75" hidden="false" customHeight="false" outlineLevel="0" collapsed="false">
      <c r="A80" s="0" t="n">
        <v>43221.3408760301</v>
      </c>
      <c r="B80" s="0" t="s">
        <v>1061</v>
      </c>
      <c r="C80" s="0" t="s">
        <v>575</v>
      </c>
      <c r="D80" s="0" t="n">
        <v>8</v>
      </c>
      <c r="E80" s="0" t="n">
        <v>117</v>
      </c>
      <c r="G80" s="0" t="s">
        <v>1062</v>
      </c>
      <c r="H80" s="0" t="s">
        <v>1063</v>
      </c>
      <c r="I80" s="0" t="s">
        <v>850</v>
      </c>
      <c r="J80" s="0" t="s">
        <v>870</v>
      </c>
      <c r="K80" s="0" t="s">
        <v>827</v>
      </c>
      <c r="L80" s="0" t="e">
        <f aca="false" t="array" ref="L80:L80">IF(D80&lt;10, IF(COUNTIF(concat(TRIM('Переформатированный ответ'!$B$2:$B$200),TRIM('Переформатированный ответ'!$C$2:$C$200)),concat(TRIM(B80),TRIM(C80))) &gt; 0,"Есть","Нет"),"")</f>
        <v>#NAME?</v>
      </c>
      <c r="M80" s="0" t="n">
        <v>-1</v>
      </c>
      <c r="N80" s="0" t="s">
        <v>1064</v>
      </c>
    </row>
    <row r="81" customFormat="false" ht="15.75" hidden="false" customHeight="false" outlineLevel="0" collapsed="false">
      <c r="A81" s="0" t="n">
        <v>43221.3430703588</v>
      </c>
      <c r="B81" s="0" t="s">
        <v>459</v>
      </c>
      <c r="C81" s="0" t="s">
        <v>1041</v>
      </c>
      <c r="D81" s="0" t="n">
        <v>8</v>
      </c>
      <c r="E81" s="0" t="n">
        <v>117</v>
      </c>
      <c r="G81" s="0" t="s">
        <v>1065</v>
      </c>
      <c r="H81" s="0" t="s">
        <v>463</v>
      </c>
      <c r="I81" s="0" t="s">
        <v>825</v>
      </c>
      <c r="J81" s="0" t="s">
        <v>860</v>
      </c>
      <c r="K81" s="0" t="s">
        <v>39</v>
      </c>
      <c r="L81" s="0" t="e">
        <f aca="false" t="array" ref="L81:L81">IF(D81&lt;10, IF(COUNTIF(concat(TRIM('Переформатированный ответ'!$B$2:$B$200),TRIM('Переформатированный ответ'!$C$2:$C$200)),concat(TRIM(B81),TRIM(C81))) &gt; 0,"Есть","Нет"),"")</f>
        <v>#NAME?</v>
      </c>
      <c r="M81" s="0" t="n">
        <v>2</v>
      </c>
      <c r="O81" s="0" t="s">
        <v>825</v>
      </c>
      <c r="Q81" s="0" t="n">
        <v>1</v>
      </c>
      <c r="R81" s="0" t="n">
        <v>1</v>
      </c>
      <c r="S81" s="0" t="n">
        <v>1</v>
      </c>
      <c r="T81" s="0" t="n">
        <v>1</v>
      </c>
      <c r="U81" s="0" t="n">
        <v>1</v>
      </c>
    </row>
    <row r="82" customFormat="false" ht="15.75" hidden="false" customHeight="false" outlineLevel="0" collapsed="false">
      <c r="A82" s="0" t="n">
        <v>43221.4677968866</v>
      </c>
      <c r="B82" s="0" t="s">
        <v>1066</v>
      </c>
      <c r="C82" s="0" t="s">
        <v>1067</v>
      </c>
      <c r="D82" s="0" t="n">
        <v>10</v>
      </c>
      <c r="E82" s="0" t="n">
        <v>117</v>
      </c>
      <c r="G82" s="0" t="s">
        <v>1068</v>
      </c>
      <c r="H82" s="0" t="s">
        <v>1069</v>
      </c>
      <c r="I82" s="0" t="s">
        <v>919</v>
      </c>
      <c r="J82" s="0" t="s">
        <v>848</v>
      </c>
      <c r="K82" s="0" t="s">
        <v>39</v>
      </c>
      <c r="L82" s="0" t="str">
        <f aca="false" t="array" ref="L82:L82">IF(D82&lt;10, IF(COUNTIF(concat(TRIM('Переформатированный ответ'!$B$2:$B$200),TRIM('Переформатированный ответ'!$C$2:$C$200)),concat(TRIM(B82),TRIM(C82))) &gt; 0,"Есть","Нет"),"")</f>
        <v/>
      </c>
      <c r="M82" s="0" t="n">
        <v>2</v>
      </c>
      <c r="O82" s="0" t="s">
        <v>919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1</v>
      </c>
    </row>
    <row r="83" customFormat="false" ht="15.75" hidden="false" customHeight="false" outlineLevel="0" collapsed="false">
      <c r="A83" s="0" t="n">
        <v>43221.5126128704</v>
      </c>
      <c r="B83" s="0" t="s">
        <v>1070</v>
      </c>
      <c r="C83" s="0" t="s">
        <v>326</v>
      </c>
      <c r="D83" s="0" t="n">
        <v>8</v>
      </c>
      <c r="E83" s="0" t="n">
        <v>19</v>
      </c>
      <c r="G83" s="0" t="s">
        <v>1071</v>
      </c>
      <c r="H83" s="0" t="s">
        <v>1072</v>
      </c>
      <c r="I83" s="0" t="s">
        <v>826</v>
      </c>
      <c r="J83" s="0" t="s">
        <v>851</v>
      </c>
      <c r="K83" s="0" t="s">
        <v>39</v>
      </c>
      <c r="L83" s="0" t="e">
        <f aca="false" t="array" ref="L83:L83">IF(D83&lt;10, IF(COUNTIF(concat(TRIM('Переформатированный ответ'!$B$2:$B$200),TRIM('Переформатированный ответ'!$C$2:$C$200)),concat(TRIM(B83),TRIM(C83))) &gt; 0,"Есть","Нет"),"")</f>
        <v>#NAME?</v>
      </c>
      <c r="M83" s="0" t="n">
        <v>-1</v>
      </c>
    </row>
    <row r="84" customFormat="false" ht="15.75" hidden="false" customHeight="false" outlineLevel="0" collapsed="false">
      <c r="A84" s="0" t="n">
        <v>43221.6035221759</v>
      </c>
      <c r="B84" s="0" t="s">
        <v>1073</v>
      </c>
      <c r="C84" s="0" t="s">
        <v>618</v>
      </c>
      <c r="D84" s="0" t="n">
        <v>10</v>
      </c>
      <c r="E84" s="0" t="n">
        <v>64</v>
      </c>
      <c r="G84" s="0" t="s">
        <v>39</v>
      </c>
      <c r="H84" s="0" t="s">
        <v>1074</v>
      </c>
      <c r="I84" s="0" t="s">
        <v>838</v>
      </c>
      <c r="J84" s="0" t="s">
        <v>834</v>
      </c>
      <c r="K84" s="0" t="s">
        <v>39</v>
      </c>
      <c r="L84" s="0" t="str">
        <f aca="false" t="array" ref="L84:L84">IF(D84&lt;10, IF(COUNTIF(concat(TRIM('Переформатированный ответ'!$B$2:$B$200),TRIM('Переформатированный ответ'!$C$2:$C$200)),concat(TRIM(B84),TRIM(C84))) &gt; 0,"Есть","Нет"),"")</f>
        <v/>
      </c>
      <c r="M84" s="0" t="n">
        <v>2</v>
      </c>
      <c r="O84" s="0" t="s">
        <v>838</v>
      </c>
      <c r="Q84" s="0" t="n">
        <v>1</v>
      </c>
      <c r="R84" s="0" t="n">
        <v>1</v>
      </c>
      <c r="S84" s="0" t="n">
        <v>1</v>
      </c>
      <c r="T84" s="0" t="n">
        <v>1</v>
      </c>
      <c r="U84" s="0" t="n">
        <v>1</v>
      </c>
    </row>
    <row r="85" customFormat="false" ht="15.75" hidden="false" customHeight="false" outlineLevel="0" collapsed="false">
      <c r="A85" s="0" t="n">
        <v>43221.6140246991</v>
      </c>
      <c r="B85" s="0" t="s">
        <v>1075</v>
      </c>
      <c r="C85" s="0" t="s">
        <v>142</v>
      </c>
      <c r="D85" s="0" t="n">
        <v>9</v>
      </c>
      <c r="E85" s="0" t="n">
        <v>43</v>
      </c>
      <c r="F85" s="0" t="s">
        <v>1076</v>
      </c>
      <c r="G85" s="0" t="s">
        <v>1077</v>
      </c>
      <c r="H85" s="0" t="s">
        <v>1078</v>
      </c>
      <c r="I85" s="0" t="s">
        <v>838</v>
      </c>
      <c r="J85" s="0" t="s">
        <v>851</v>
      </c>
      <c r="K85" s="0" t="s">
        <v>827</v>
      </c>
      <c r="L85" s="0" t="e">
        <f aca="false" t="array" ref="L85:L85">IF(D85&lt;10, IF(COUNTIF(concat(TRIM('Переформатированный ответ'!$B$2:$B$200),TRIM('Переформатированный ответ'!$C$2:$C$200)),concat(TRIM(B85),TRIM(C85))) &gt; 0,"Есть","Нет"),"")</f>
        <v>#NAME?</v>
      </c>
      <c r="M85" s="0" t="n">
        <v>2</v>
      </c>
      <c r="N85" s="0" t="s">
        <v>1079</v>
      </c>
      <c r="O85" s="0" t="s">
        <v>838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5.75" hidden="false" customHeight="false" outlineLevel="0" collapsed="false">
      <c r="A86" s="0" t="n">
        <v>43221.6194452778</v>
      </c>
      <c r="B86" s="0" t="s">
        <v>431</v>
      </c>
      <c r="C86" s="0" t="s">
        <v>427</v>
      </c>
      <c r="D86" s="0" t="n">
        <v>8</v>
      </c>
      <c r="E86" s="0" t="n">
        <v>117</v>
      </c>
      <c r="G86" s="0" t="s">
        <v>1080</v>
      </c>
      <c r="H86" s="0" t="s">
        <v>433</v>
      </c>
      <c r="I86" s="0" t="s">
        <v>846</v>
      </c>
      <c r="J86" s="0" t="s">
        <v>870</v>
      </c>
      <c r="K86" s="0" t="s">
        <v>827</v>
      </c>
      <c r="L86" s="0" t="e">
        <f aca="false" t="array" ref="L86:L86">IF(D86&lt;10, IF(COUNTIF(concat(TRIM('Переформатированный ответ'!$B$2:$B$200),TRIM('Переформатированный ответ'!$C$2:$C$200)),concat(TRIM(B86),TRIM(C86))) &gt; 0,"Есть","Нет"),"")</f>
        <v>#NAME?</v>
      </c>
      <c r="M86" s="0" t="n">
        <v>2</v>
      </c>
      <c r="O86" s="0" t="s">
        <v>846</v>
      </c>
      <c r="Q86" s="0" t="n">
        <v>1</v>
      </c>
      <c r="R86" s="0" t="n">
        <v>1</v>
      </c>
      <c r="S86" s="0" t="n">
        <v>1</v>
      </c>
      <c r="T86" s="0" t="n">
        <v>1</v>
      </c>
    </row>
    <row r="87" customFormat="false" ht="15.75" hidden="false" customHeight="false" outlineLevel="0" collapsed="false">
      <c r="A87" s="0" t="n">
        <v>43221.6501416435</v>
      </c>
      <c r="B87" s="0" t="s">
        <v>1081</v>
      </c>
      <c r="C87" s="0" t="s">
        <v>350</v>
      </c>
      <c r="D87" s="0" t="n">
        <v>9</v>
      </c>
      <c r="E87" s="0" t="n">
        <v>117</v>
      </c>
      <c r="G87" s="0" t="s">
        <v>39</v>
      </c>
      <c r="H87" s="0" t="s">
        <v>476</v>
      </c>
      <c r="I87" s="0" t="s">
        <v>846</v>
      </c>
      <c r="J87" s="0" t="s">
        <v>870</v>
      </c>
      <c r="K87" s="0" t="s">
        <v>39</v>
      </c>
      <c r="L87" s="0" t="e">
        <f aca="false" t="array" ref="L87:L87">IF(D87&lt;10, IF(COUNTIF(concat(TRIM('Переформатированный ответ'!$B$2:$B$200),TRIM('Переформатированный ответ'!$C$2:$C$200)),concat(TRIM(B87),TRIM(C87))) &gt; 0,"Есть","Нет"),"")</f>
        <v>#NAME?</v>
      </c>
      <c r="M87" s="0" t="n">
        <v>1</v>
      </c>
      <c r="O87" s="0" t="s">
        <v>846</v>
      </c>
      <c r="Q87" s="0" t="n">
        <v>1</v>
      </c>
      <c r="R87" s="0" t="n">
        <v>1</v>
      </c>
      <c r="S87" s="0" t="n">
        <v>1</v>
      </c>
      <c r="T87" s="0" t="n">
        <v>1</v>
      </c>
    </row>
    <row r="88" customFormat="false" ht="15.75" hidden="false" customHeight="false" outlineLevel="0" collapsed="false">
      <c r="A88" s="0" t="n">
        <v>43221.6979844213</v>
      </c>
      <c r="B88" s="0" t="s">
        <v>199</v>
      </c>
      <c r="C88" s="0" t="s">
        <v>275</v>
      </c>
      <c r="D88" s="0" t="n">
        <v>10</v>
      </c>
      <c r="E88" s="0" t="n">
        <v>117</v>
      </c>
      <c r="G88" s="0" t="s">
        <v>1082</v>
      </c>
      <c r="H88" s="0" t="s">
        <v>1083</v>
      </c>
      <c r="I88" s="0" t="s">
        <v>130</v>
      </c>
      <c r="J88" s="0" t="s">
        <v>848</v>
      </c>
      <c r="K88" s="0" t="s">
        <v>827</v>
      </c>
      <c r="L88" s="0" t="str">
        <f aca="false" t="array" ref="L88:L88">IF(D88&lt;10, IF(COUNTIF(concat(TRIM('Переформатированный ответ'!$B$2:$B$200),TRIM('Переформатированный ответ'!$C$2:$C$200)),concat(TRIM(B88),TRIM(C88))) &gt; 0,"Есть","Нет"),"")</f>
        <v/>
      </c>
      <c r="M88" s="0" t="n">
        <v>2</v>
      </c>
      <c r="O88" s="0" t="s">
        <v>130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</row>
    <row r="89" customFormat="false" ht="15.75" hidden="false" customHeight="false" outlineLevel="0" collapsed="false">
      <c r="A89" s="0" t="n">
        <v>43221.8118024653</v>
      </c>
      <c r="B89" s="0" t="s">
        <v>1084</v>
      </c>
      <c r="C89" s="0" t="s">
        <v>1085</v>
      </c>
      <c r="D89" s="0" t="n">
        <v>8</v>
      </c>
      <c r="E89" s="0" t="n">
        <v>117</v>
      </c>
      <c r="G89" s="0" t="s">
        <v>1086</v>
      </c>
      <c r="H89" s="0" t="s">
        <v>1087</v>
      </c>
      <c r="I89" s="0" t="s">
        <v>57</v>
      </c>
      <c r="J89" s="0" t="s">
        <v>870</v>
      </c>
      <c r="K89" s="0" t="s">
        <v>827</v>
      </c>
      <c r="L89" s="0" t="e">
        <f aca="false" t="array" ref="L89:L89">IF(D89&lt;10, IF(COUNTIF(concat(TRIM('Переформатированный ответ'!$B$2:$B$200),TRIM('Переформатированный ответ'!$C$2:$C$200)),concat(TRIM(B89),TRIM(C89))) &gt; 0,"Есть","Нет"),"")</f>
        <v>#NAME?</v>
      </c>
      <c r="M89" s="0" t="n">
        <v>2</v>
      </c>
      <c r="N89" s="0" t="s">
        <v>1088</v>
      </c>
      <c r="O89" s="0" t="s">
        <v>57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</row>
    <row r="90" customFormat="false" ht="15.75" hidden="false" customHeight="false" outlineLevel="0" collapsed="false">
      <c r="A90" s="0" t="n">
        <v>43221.8255876736</v>
      </c>
      <c r="B90" s="0" t="s">
        <v>1089</v>
      </c>
      <c r="C90" s="0" t="s">
        <v>879</v>
      </c>
      <c r="D90" s="0" t="n">
        <v>10</v>
      </c>
      <c r="E90" s="0" t="n">
        <v>123</v>
      </c>
      <c r="G90" s="0" t="s">
        <v>1090</v>
      </c>
      <c r="H90" s="0" t="s">
        <v>1091</v>
      </c>
      <c r="I90" s="0" t="s">
        <v>57</v>
      </c>
      <c r="J90" s="0" t="s">
        <v>834</v>
      </c>
      <c r="K90" s="0" t="s">
        <v>39</v>
      </c>
      <c r="L90" s="0" t="str">
        <f aca="false" t="array" ref="L90:L90">IF(D90&lt;10, IF(COUNTIF(concat(TRIM('Переформатированный ответ'!$B$2:$B$200),TRIM('Переформатированный ответ'!$C$2:$C$200)),concat(TRIM(B90),TRIM(C90))) &gt; 0,"Есть","Нет"),"")</f>
        <v/>
      </c>
      <c r="M90" s="0" t="n">
        <v>2</v>
      </c>
      <c r="O90" s="0" t="s">
        <v>57</v>
      </c>
      <c r="Q90" s="0" t="n">
        <v>0</v>
      </c>
      <c r="R90" s="0" t="n">
        <v>1</v>
      </c>
      <c r="S90" s="0" t="n">
        <v>1</v>
      </c>
      <c r="T90" s="0" t="n">
        <v>0</v>
      </c>
      <c r="U90" s="0" t="n">
        <v>0</v>
      </c>
    </row>
    <row r="91" customFormat="false" ht="15.75" hidden="false" customHeight="false" outlineLevel="0" collapsed="false">
      <c r="A91" s="0" t="n">
        <v>43221.8256128588</v>
      </c>
      <c r="B91" s="0" t="s">
        <v>1092</v>
      </c>
      <c r="C91" s="0" t="s">
        <v>365</v>
      </c>
      <c r="D91" s="0" t="n">
        <v>10</v>
      </c>
      <c r="E91" s="0" t="n">
        <v>84</v>
      </c>
      <c r="G91" s="0" t="s">
        <v>1093</v>
      </c>
      <c r="H91" s="0" t="s">
        <v>1094</v>
      </c>
      <c r="I91" s="0" t="s">
        <v>57</v>
      </c>
      <c r="J91" s="0" t="s">
        <v>834</v>
      </c>
      <c r="K91" s="0" t="s">
        <v>39</v>
      </c>
      <c r="L91" s="0" t="str">
        <f aca="false" t="array" ref="L91:L91">IF(D91&lt;10, IF(COUNTIF(concat(TRIM('Переформатированный ответ'!$B$2:$B$200),TRIM('Переформатированный ответ'!$C$2:$C$200)),concat(TRIM(B91),TRIM(C91))) &gt; 0,"Есть","Нет"),"")</f>
        <v/>
      </c>
      <c r="M91" s="0" t="n">
        <v>2</v>
      </c>
      <c r="O91" s="0" t="s">
        <v>57</v>
      </c>
      <c r="Q91" s="0" t="n">
        <v>1</v>
      </c>
      <c r="R91" s="0" t="n">
        <v>1</v>
      </c>
      <c r="S91" s="0" t="n">
        <v>1</v>
      </c>
      <c r="T91" s="0" t="n">
        <v>1</v>
      </c>
      <c r="U91" s="0" t="n">
        <v>1</v>
      </c>
    </row>
    <row r="92" customFormat="false" ht="15.75" hidden="false" customHeight="false" outlineLevel="0" collapsed="false">
      <c r="A92" s="0" t="n">
        <v>43221.8337743866</v>
      </c>
      <c r="B92" s="0" t="s">
        <v>1095</v>
      </c>
      <c r="C92" s="0" t="s">
        <v>217</v>
      </c>
      <c r="D92" s="0" t="n">
        <v>8</v>
      </c>
      <c r="E92" s="0" t="n">
        <v>117</v>
      </c>
      <c r="G92" s="0" t="s">
        <v>1096</v>
      </c>
      <c r="H92" s="0" t="s">
        <v>1097</v>
      </c>
      <c r="I92" s="0" t="s">
        <v>826</v>
      </c>
      <c r="J92" s="0" t="s">
        <v>833</v>
      </c>
      <c r="K92" s="0" t="s">
        <v>39</v>
      </c>
      <c r="L92" s="0" t="e">
        <f aca="false" t="array" ref="L92:L92">IF(D92&lt;10, IF(COUNTIF(concat(TRIM('Переформатированный ответ'!$B$2:$B$200),TRIM('Переформатированный ответ'!$C$2:$C$200)),concat(TRIM(B92),TRIM(C92))) &gt; 0,"Есть","Нет"),"")</f>
        <v>#NAME?</v>
      </c>
      <c r="M92" s="0" t="n">
        <v>2</v>
      </c>
      <c r="O92" s="0" t="s">
        <v>826</v>
      </c>
      <c r="Q92" s="0" t="n">
        <v>1</v>
      </c>
      <c r="R92" s="0" t="n">
        <v>1</v>
      </c>
      <c r="S92" s="0" t="n">
        <v>1</v>
      </c>
      <c r="T92" s="0" t="n">
        <v>0</v>
      </c>
      <c r="U92" s="0" t="n">
        <v>0</v>
      </c>
    </row>
    <row r="93" customFormat="false" ht="15.75" hidden="false" customHeight="false" outlineLevel="0" collapsed="false">
      <c r="A93" s="0" t="n">
        <v>43221.836970081</v>
      </c>
      <c r="B93" s="0" t="s">
        <v>1098</v>
      </c>
      <c r="C93" s="0" t="s">
        <v>350</v>
      </c>
      <c r="D93" s="0" t="n">
        <v>10</v>
      </c>
      <c r="E93" s="0" t="n">
        <v>166</v>
      </c>
      <c r="G93" s="0" t="s">
        <v>1099</v>
      </c>
      <c r="H93" s="0" t="s">
        <v>1100</v>
      </c>
      <c r="I93" s="0" t="s">
        <v>838</v>
      </c>
      <c r="J93" s="0" t="s">
        <v>887</v>
      </c>
      <c r="K93" s="0" t="s">
        <v>39</v>
      </c>
      <c r="L93" s="0" t="str">
        <f aca="false" t="array" ref="L93:L93">IF(D93&lt;10, IF(COUNTIF(concat(TRIM('Переформатированный ответ'!$B$2:$B$200),TRIM('Переформатированный ответ'!$C$2:$C$200)),concat(TRIM(B93),TRIM(C93))) &gt; 0,"Есть","Нет"),"")</f>
        <v/>
      </c>
      <c r="M93" s="0" t="n">
        <v>2</v>
      </c>
      <c r="O93" s="0" t="s">
        <v>838</v>
      </c>
      <c r="Q93" s="0" t="n">
        <v>1</v>
      </c>
      <c r="R93" s="0" t="n">
        <v>1</v>
      </c>
      <c r="S93" s="0" t="n">
        <v>1</v>
      </c>
      <c r="T93" s="0" t="n">
        <v>1</v>
      </c>
      <c r="U93" s="0" t="n">
        <v>1</v>
      </c>
    </row>
    <row r="94" customFormat="false" ht="15.75" hidden="false" customHeight="false" outlineLevel="0" collapsed="false">
      <c r="A94" s="0" t="n">
        <v>43221.8391082407</v>
      </c>
      <c r="B94" s="0" t="s">
        <v>1101</v>
      </c>
      <c r="C94" s="0" t="s">
        <v>1102</v>
      </c>
      <c r="D94" s="0" t="n">
        <v>10</v>
      </c>
      <c r="E94" s="0" t="n">
        <v>166</v>
      </c>
      <c r="G94" s="0" t="s">
        <v>1103</v>
      </c>
      <c r="H94" s="0" t="s">
        <v>1104</v>
      </c>
      <c r="I94" s="0" t="s">
        <v>838</v>
      </c>
      <c r="J94" s="0" t="s">
        <v>887</v>
      </c>
      <c r="K94" s="0" t="s">
        <v>39</v>
      </c>
      <c r="L94" s="0" t="str">
        <f aca="false" t="array" ref="L94:L94">IF(D94&lt;10, IF(COUNTIF(concat(TRIM('Переформатированный ответ'!$B$2:$B$200),TRIM('Переформатированный ответ'!$C$2:$C$200)),concat(TRIM(B94),TRIM(C94))) &gt; 0,"Есть","Нет"),"")</f>
        <v/>
      </c>
      <c r="M94" s="0" t="n">
        <v>2</v>
      </c>
      <c r="O94" s="0" t="s">
        <v>838</v>
      </c>
      <c r="Q94" s="0" t="n">
        <v>1</v>
      </c>
      <c r="R94" s="0" t="n">
        <v>1</v>
      </c>
      <c r="S94" s="0" t="n">
        <v>0</v>
      </c>
      <c r="T94" s="0" t="n">
        <v>1</v>
      </c>
      <c r="U94" s="0" t="n">
        <v>1</v>
      </c>
    </row>
    <row r="95" customFormat="false" ht="15.75" hidden="false" customHeight="false" outlineLevel="0" collapsed="false">
      <c r="A95" s="0" t="n">
        <v>43221.8653332986</v>
      </c>
      <c r="B95" s="0" t="s">
        <v>293</v>
      </c>
      <c r="C95" s="0" t="s">
        <v>254</v>
      </c>
      <c r="D95" s="0" t="n">
        <v>10</v>
      </c>
      <c r="E95" s="0" t="n">
        <v>66</v>
      </c>
      <c r="G95" s="0" t="s">
        <v>1105</v>
      </c>
      <c r="H95" s="0" t="s">
        <v>1106</v>
      </c>
      <c r="I95" s="0" t="s">
        <v>865</v>
      </c>
      <c r="J95" s="0" t="s">
        <v>887</v>
      </c>
      <c r="K95" s="0" t="s">
        <v>827</v>
      </c>
      <c r="L95" s="0" t="str">
        <f aca="false" t="array" ref="L95:L95">IF(D95&lt;10, IF(COUNTIF(concat(TRIM('Переформатированный ответ'!$B$2:$B$200),TRIM('Переформатированный ответ'!$C$2:$C$200)),concat(TRIM(B95),TRIM(C95))) &gt; 0,"Есть","Нет"),"")</f>
        <v/>
      </c>
      <c r="M95" s="0" t="n">
        <v>2</v>
      </c>
      <c r="O95" s="0" t="s">
        <v>865</v>
      </c>
      <c r="Q95" s="0" t="n">
        <v>1</v>
      </c>
      <c r="R95" s="0" t="n">
        <v>1</v>
      </c>
      <c r="S95" s="0" t="n">
        <v>1</v>
      </c>
      <c r="T95" s="0" t="n">
        <v>1</v>
      </c>
      <c r="U95" s="0" t="n">
        <v>1</v>
      </c>
    </row>
    <row r="96" customFormat="false" ht="15.75" hidden="false" customHeight="false" outlineLevel="0" collapsed="false">
      <c r="A96" s="0" t="n">
        <v>43221.8669291088</v>
      </c>
      <c r="B96" s="0" t="s">
        <v>312</v>
      </c>
      <c r="C96" s="0" t="s">
        <v>1107</v>
      </c>
      <c r="D96" s="0" t="n">
        <v>10</v>
      </c>
      <c r="E96" s="0" t="n">
        <v>92</v>
      </c>
      <c r="G96" s="0" t="s">
        <v>1108</v>
      </c>
      <c r="H96" s="0" t="s">
        <v>1109</v>
      </c>
      <c r="I96" s="0" t="s">
        <v>865</v>
      </c>
      <c r="J96" s="0" t="s">
        <v>834</v>
      </c>
      <c r="K96" s="0" t="s">
        <v>827</v>
      </c>
      <c r="L96" s="0" t="str">
        <f aca="false" t="array" ref="L96:L96">IF(D96&lt;10, IF(COUNTIF(concat(TRIM('Переформатированный ответ'!$B$2:$B$200),TRIM('Переформатированный ответ'!$C$2:$C$200)),concat(TRIM(B96),TRIM(C96))) &gt; 0,"Есть","Нет"),"")</f>
        <v/>
      </c>
      <c r="M96" s="0" t="n">
        <v>2</v>
      </c>
      <c r="O96" s="0" t="s">
        <v>865</v>
      </c>
      <c r="Q96" s="0" t="n">
        <v>0</v>
      </c>
      <c r="R96" s="0" t="n">
        <v>0</v>
      </c>
      <c r="S96" s="0" t="n">
        <v>1</v>
      </c>
      <c r="T96" s="0" t="n">
        <v>1</v>
      </c>
      <c r="U96" s="0" t="n">
        <v>1</v>
      </c>
    </row>
    <row r="97" customFormat="false" ht="15.75" hidden="false" customHeight="false" outlineLevel="0" collapsed="false">
      <c r="A97" s="0" t="n">
        <v>43221.939024213</v>
      </c>
      <c r="B97" s="0" t="s">
        <v>403</v>
      </c>
      <c r="C97" s="0" t="s">
        <v>285</v>
      </c>
      <c r="D97" s="0" t="n">
        <v>7</v>
      </c>
      <c r="E97" s="0" t="n">
        <v>117</v>
      </c>
      <c r="G97" s="0" t="s">
        <v>1110</v>
      </c>
      <c r="H97" s="0" t="s">
        <v>406</v>
      </c>
      <c r="I97" s="0" t="s">
        <v>850</v>
      </c>
      <c r="J97" s="0" t="s">
        <v>860</v>
      </c>
      <c r="K97" s="0" t="s">
        <v>39</v>
      </c>
      <c r="L97" s="0" t="e">
        <f aca="false" t="array" ref="L97:L97">IF(D97&lt;10, IF(COUNTIF(concat(TRIM('Переформатированный ответ'!$B$2:$B$200),TRIM('Переформатированный ответ'!$C$2:$C$200)),concat(TRIM(B97),TRIM(C97))) &gt; 0,"Есть","Нет"),"")</f>
        <v>#NAME?</v>
      </c>
      <c r="M97" s="0" t="n">
        <v>2</v>
      </c>
      <c r="O97" s="0" t="s">
        <v>850</v>
      </c>
      <c r="Q97" s="0" t="n">
        <v>1</v>
      </c>
      <c r="R97" s="0" t="n">
        <v>1</v>
      </c>
      <c r="S97" s="0" t="n">
        <v>1</v>
      </c>
      <c r="T97" s="0" t="n">
        <v>1</v>
      </c>
      <c r="U97" s="0" t="n">
        <v>1</v>
      </c>
    </row>
    <row r="98" customFormat="false" ht="15.75" hidden="false" customHeight="false" outlineLevel="0" collapsed="false">
      <c r="A98" s="0" t="n">
        <v>43222.3696486574</v>
      </c>
      <c r="B98" s="0" t="s">
        <v>1111</v>
      </c>
      <c r="C98" s="0" t="s">
        <v>1112</v>
      </c>
      <c r="D98" s="0" t="n">
        <v>8</v>
      </c>
      <c r="E98" s="0" t="n">
        <v>117</v>
      </c>
      <c r="G98" s="0" t="s">
        <v>1113</v>
      </c>
      <c r="H98" s="0" t="s">
        <v>1114</v>
      </c>
      <c r="I98" s="0" t="s">
        <v>838</v>
      </c>
      <c r="J98" s="0" t="s">
        <v>870</v>
      </c>
      <c r="K98" s="0" t="s">
        <v>39</v>
      </c>
      <c r="L98" s="0" t="e">
        <f aca="false" t="array" ref="L98:L98">IF(D98&lt;10, IF(COUNTIF(concat(TRIM('Переформатированный ответ'!$B$2:$B$200),TRIM('Переформатированный ответ'!$C$2:$C$200)),concat(TRIM(B98),TRIM(C98))) &gt; 0,"Есть","Нет"),"")</f>
        <v>#NAME?</v>
      </c>
      <c r="M98" s="0" t="n">
        <v>2</v>
      </c>
      <c r="O98" s="0" t="s">
        <v>838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5.75" hidden="false" customHeight="false" outlineLevel="0" collapsed="false">
      <c r="A99" s="0" t="n">
        <v>43222.4018072106</v>
      </c>
      <c r="B99" s="0" t="s">
        <v>1115</v>
      </c>
      <c r="C99" s="0" t="s">
        <v>285</v>
      </c>
      <c r="D99" s="0" t="n">
        <v>10</v>
      </c>
      <c r="E99" s="0" t="n">
        <v>117</v>
      </c>
      <c r="G99" s="0" t="s">
        <v>1116</v>
      </c>
      <c r="H99" s="0" t="s">
        <v>1117</v>
      </c>
      <c r="I99" s="0" t="s">
        <v>838</v>
      </c>
      <c r="J99" s="0" t="s">
        <v>887</v>
      </c>
      <c r="K99" s="0" t="s">
        <v>39</v>
      </c>
      <c r="L99" s="0" t="str">
        <f aca="false" t="array" ref="L99:L99">IF(D99&lt;10, IF(COUNTIF(concat(TRIM('Переформатированный ответ'!$B$2:$B$200),TRIM('Переформатированный ответ'!$C$2:$C$200)),concat(TRIM(B99),TRIM(C99))) &gt; 0,"Есть","Нет"),"")</f>
        <v/>
      </c>
      <c r="M99" s="0" t="n">
        <v>2</v>
      </c>
      <c r="O99" s="0" t="s">
        <v>838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0</v>
      </c>
    </row>
    <row r="100" customFormat="false" ht="15.75" hidden="false" customHeight="false" outlineLevel="0" collapsed="false">
      <c r="A100" s="0" t="n">
        <v>43222.4118043866</v>
      </c>
      <c r="B100" s="0" t="s">
        <v>1118</v>
      </c>
      <c r="C100" s="0" t="s">
        <v>235</v>
      </c>
      <c r="D100" s="0" t="n">
        <v>9</v>
      </c>
      <c r="E100" s="0" t="n">
        <v>139</v>
      </c>
      <c r="G100" s="0" t="s">
        <v>39</v>
      </c>
      <c r="H100" s="0" t="s">
        <v>1119</v>
      </c>
      <c r="I100" s="0" t="s">
        <v>838</v>
      </c>
      <c r="J100" s="0" t="s">
        <v>846</v>
      </c>
      <c r="K100" s="0" t="s">
        <v>39</v>
      </c>
      <c r="L100" s="0" t="e">
        <f aca="false" t="array" ref="L100:L100">IF(D100&lt;10, IF(COUNTIF(concat(TRIM('Переформатированный ответ'!$B$2:$B$200),TRIM('Переформатированный ответ'!$C$2:$C$200)),concat(TRIM(B100),TRIM(C100))) &gt; 0,"Есть","Нет"),"")</f>
        <v>#NAME?</v>
      </c>
      <c r="M100" s="0" t="n">
        <v>2</v>
      </c>
      <c r="O100" s="0" t="s">
        <v>838</v>
      </c>
      <c r="Q100" s="0" t="n">
        <v>1</v>
      </c>
      <c r="R100" s="0" t="n">
        <v>1</v>
      </c>
      <c r="S100" s="0" t="n">
        <v>1</v>
      </c>
      <c r="T100" s="0" t="n">
        <v>1</v>
      </c>
      <c r="U100" s="0" t="n">
        <v>1</v>
      </c>
    </row>
    <row r="101" customFormat="false" ht="15.75" hidden="false" customHeight="false" outlineLevel="0" collapsed="false">
      <c r="A101" s="0" t="n">
        <v>43222.4124764931</v>
      </c>
      <c r="B101" s="0" t="s">
        <v>1120</v>
      </c>
      <c r="C101" s="0" t="s">
        <v>365</v>
      </c>
      <c r="D101" s="0" t="n">
        <v>9</v>
      </c>
      <c r="E101" s="0" t="n">
        <v>139</v>
      </c>
      <c r="G101" s="0" t="s">
        <v>1121</v>
      </c>
      <c r="H101" s="0" t="s">
        <v>1122</v>
      </c>
      <c r="I101" s="0" t="s">
        <v>846</v>
      </c>
      <c r="J101" s="0" t="s">
        <v>846</v>
      </c>
      <c r="K101" s="0" t="s">
        <v>39</v>
      </c>
      <c r="L101" s="0" t="e">
        <f aca="false" t="array" ref="L101:L101">IF(D101&lt;10, IF(COUNTIF(concat(TRIM('Переформатированный ответ'!$B$2:$B$200),TRIM('Переформатированный ответ'!$C$2:$C$200)),concat(TRIM(B101),TRIM(C101))) &gt; 0,"Есть","Нет"),"")</f>
        <v>#NAME?</v>
      </c>
      <c r="M101" s="0" t="n">
        <v>2</v>
      </c>
      <c r="O101" s="0" t="s">
        <v>846</v>
      </c>
      <c r="Q101" s="0" t="n">
        <v>0</v>
      </c>
      <c r="R101" s="0" t="n">
        <v>0</v>
      </c>
      <c r="S101" s="0" t="n">
        <v>0</v>
      </c>
      <c r="T101" s="0" t="n">
        <v>0</v>
      </c>
    </row>
    <row r="102" customFormat="false" ht="15.75" hidden="false" customHeight="false" outlineLevel="0" collapsed="false">
      <c r="A102" s="0" t="n">
        <v>43222.4563204398</v>
      </c>
      <c r="B102" s="0" t="s">
        <v>1123</v>
      </c>
      <c r="C102" s="0" t="s">
        <v>1124</v>
      </c>
      <c r="D102" s="0" t="n">
        <v>8</v>
      </c>
      <c r="E102" s="0" t="n">
        <v>139</v>
      </c>
      <c r="G102" s="0" t="s">
        <v>1125</v>
      </c>
      <c r="H102" s="0" t="s">
        <v>1126</v>
      </c>
      <c r="I102" s="0" t="s">
        <v>57</v>
      </c>
      <c r="J102" s="0" t="s">
        <v>850</v>
      </c>
      <c r="K102" s="0" t="s">
        <v>39</v>
      </c>
      <c r="L102" s="0" t="e">
        <f aca="false" t="array" ref="L102:L102">IF(D102&lt;10, IF(COUNTIF(concat(TRIM('Переформатированный ответ'!$B$2:$B$200),TRIM('Переформатированный ответ'!$C$2:$C$200)),concat(TRIM(B102),TRIM(C102))) &gt; 0,"Есть","Нет"),"")</f>
        <v>#NAME?</v>
      </c>
      <c r="M102" s="0" t="n">
        <v>2</v>
      </c>
      <c r="O102" s="0" t="s">
        <v>57</v>
      </c>
      <c r="Q102" s="0" t="n">
        <v>1</v>
      </c>
      <c r="R102" s="0" t="n">
        <v>1</v>
      </c>
      <c r="S102" s="0" t="n">
        <v>1</v>
      </c>
      <c r="T102" s="0" t="n">
        <v>1</v>
      </c>
      <c r="U102" s="0" t="n">
        <v>1</v>
      </c>
    </row>
    <row r="103" customFormat="false" ht="15.75" hidden="false" customHeight="false" outlineLevel="0" collapsed="false">
      <c r="A103" s="0" t="n">
        <v>43222.6095442477</v>
      </c>
      <c r="B103" s="0" t="s">
        <v>1127</v>
      </c>
      <c r="C103" s="0" t="s">
        <v>117</v>
      </c>
      <c r="D103" s="0" t="n">
        <v>8</v>
      </c>
      <c r="E103" s="0" t="n">
        <v>139</v>
      </c>
      <c r="G103" s="0" t="s">
        <v>1128</v>
      </c>
      <c r="H103" s="0" t="s">
        <v>260</v>
      </c>
      <c r="I103" s="0" t="s">
        <v>130</v>
      </c>
      <c r="J103" s="0" t="s">
        <v>846</v>
      </c>
      <c r="K103" s="0" t="s">
        <v>39</v>
      </c>
      <c r="L103" s="0" t="e">
        <f aca="false" t="array" ref="L103:L103">IF(D103&lt;10, IF(COUNTIF(concat(TRIM('Переформатированный ответ'!$B$2:$B$200),TRIM('Переформатированный ответ'!$C$2:$C$200)),concat(TRIM(B103),TRIM(C103))) &gt; 0,"Есть","Нет"),"")</f>
        <v>#NAME?</v>
      </c>
      <c r="M103" s="0" t="n">
        <v>2</v>
      </c>
      <c r="O103" s="0" t="s">
        <v>130</v>
      </c>
      <c r="Q103" s="0" t="n">
        <v>1</v>
      </c>
      <c r="R103" s="0" t="n">
        <v>1</v>
      </c>
      <c r="S103" s="0" t="n">
        <v>1</v>
      </c>
      <c r="T103" s="0" t="n">
        <v>1</v>
      </c>
      <c r="U103" s="0" t="n">
        <v>1</v>
      </c>
    </row>
    <row r="104" customFormat="false" ht="15.75" hidden="false" customHeight="false" outlineLevel="0" collapsed="false">
      <c r="A104" s="0" t="n">
        <v>43222.6566593634</v>
      </c>
      <c r="B104" s="0" t="s">
        <v>1129</v>
      </c>
      <c r="C104" s="0" t="s">
        <v>1130</v>
      </c>
      <c r="D104" s="0" t="n">
        <v>7</v>
      </c>
      <c r="E104" s="0" t="n">
        <v>64</v>
      </c>
      <c r="G104" s="0" t="s">
        <v>1131</v>
      </c>
      <c r="H104" s="0" t="s">
        <v>1132</v>
      </c>
      <c r="I104" s="0" t="s">
        <v>846</v>
      </c>
      <c r="J104" s="0" t="s">
        <v>898</v>
      </c>
      <c r="K104" s="0" t="s">
        <v>39</v>
      </c>
      <c r="L104" s="0" t="e">
        <f aca="false" t="array" ref="L104:L104">IF(D104&lt;10, IF(COUNTIF(concat(TRIM('Переформатированный ответ'!$B$2:$B$200),TRIM('Переформатированный ответ'!$C$2:$C$200)),concat(TRIM(B104),TRIM(C104))) &gt; 0,"Есть","Нет"),"")</f>
        <v>#NAME?</v>
      </c>
      <c r="M104" s="0" t="n">
        <v>-1</v>
      </c>
      <c r="N104" s="0" t="s">
        <v>926</v>
      </c>
    </row>
    <row r="105" customFormat="false" ht="15.75" hidden="false" customHeight="false" outlineLevel="0" collapsed="false">
      <c r="A105" s="0" t="n">
        <v>43222.7747455903</v>
      </c>
      <c r="B105" s="0" t="s">
        <v>208</v>
      </c>
      <c r="C105" s="0" t="s">
        <v>90</v>
      </c>
      <c r="D105" s="0" t="n">
        <v>8</v>
      </c>
      <c r="E105" s="0" t="n">
        <v>139</v>
      </c>
      <c r="G105" s="0" t="s">
        <v>1133</v>
      </c>
      <c r="H105" s="0" t="s">
        <v>211</v>
      </c>
      <c r="I105" s="0" t="s">
        <v>826</v>
      </c>
      <c r="J105" s="0" t="s">
        <v>833</v>
      </c>
      <c r="K105" s="0" t="s">
        <v>39</v>
      </c>
      <c r="L105" s="0" t="e">
        <f aca="false" t="array" ref="L105:L105">IF(D105&lt;10, IF(COUNTIF(concat(TRIM('Переформатированный ответ'!$B$2:$B$200),TRIM('Переформатированный ответ'!$C$2:$C$200)),concat(TRIM(B105),TRIM(C105))) &gt; 0,"Есть","Нет"),"")</f>
        <v>#NAME?</v>
      </c>
      <c r="M105" s="0" t="n">
        <v>2</v>
      </c>
      <c r="O105" s="0" t="s">
        <v>826</v>
      </c>
    </row>
    <row r="106" customFormat="false" ht="15.75" hidden="false" customHeight="false" outlineLevel="0" collapsed="false">
      <c r="A106" s="0" t="n">
        <v>43223.536213125</v>
      </c>
      <c r="B106" s="0" t="s">
        <v>1134</v>
      </c>
      <c r="C106" s="0" t="s">
        <v>879</v>
      </c>
      <c r="D106" s="0" t="n">
        <v>10</v>
      </c>
      <c r="E106" s="0" t="n">
        <v>149</v>
      </c>
      <c r="G106" s="0" t="s">
        <v>1135</v>
      </c>
      <c r="H106" s="0" t="s">
        <v>1136</v>
      </c>
      <c r="I106" s="0" t="s">
        <v>57</v>
      </c>
      <c r="J106" s="0" t="s">
        <v>870</v>
      </c>
      <c r="K106" s="0" t="s">
        <v>39</v>
      </c>
      <c r="L106" s="0" t="str">
        <f aca="false" t="array" ref="L106:L106">IF(D106&lt;10, IF(COUNTIF(concat(TRIM('Переформатированный ответ'!$B$2:$B$200),TRIM('Переформатированный ответ'!$C$2:$C$200)),concat(TRIM(B106),TRIM(C106))) &gt; 0,"Есть","Нет"),"")</f>
        <v/>
      </c>
      <c r="M106" s="0" t="n">
        <v>2</v>
      </c>
      <c r="O106" s="0" t="s">
        <v>57</v>
      </c>
    </row>
    <row r="107" customFormat="false" ht="15.75" hidden="false" customHeight="false" outlineLevel="0" collapsed="false">
      <c r="A107" s="0" t="n">
        <v>43223.7215397222</v>
      </c>
      <c r="B107" s="0" t="s">
        <v>1137</v>
      </c>
      <c r="C107" s="0" t="s">
        <v>657</v>
      </c>
      <c r="D107" s="0" t="n">
        <v>9</v>
      </c>
      <c r="E107" s="0" t="n">
        <v>117</v>
      </c>
      <c r="G107" s="0" t="s">
        <v>1138</v>
      </c>
      <c r="H107" s="0" t="s">
        <v>1139</v>
      </c>
      <c r="I107" s="0" t="s">
        <v>851</v>
      </c>
      <c r="J107" s="0" t="s">
        <v>826</v>
      </c>
      <c r="K107" s="0" t="s">
        <v>827</v>
      </c>
      <c r="L107" s="0" t="e">
        <f aca="false" t="array" ref="L107:L107">IF(D107&lt;10, IF(COUNTIF(concat(TRIM('Переформатированный ответ'!$B$2:$B$200),TRIM('Переформатированный ответ'!$C$2:$C$200)),concat(TRIM(B107),TRIM(C107))) &gt; 0,"Есть","Нет"),"")</f>
        <v>#NAME?</v>
      </c>
      <c r="M107" s="0" t="n">
        <v>2</v>
      </c>
      <c r="O107" s="0" t="s">
        <v>851</v>
      </c>
    </row>
    <row r="108" customFormat="false" ht="15.75" hidden="false" customHeight="false" outlineLevel="0" collapsed="false">
      <c r="A108" s="0" t="n">
        <v>43223.7379862731</v>
      </c>
      <c r="B108" s="0" t="s">
        <v>1140</v>
      </c>
      <c r="C108" s="0" t="s">
        <v>122</v>
      </c>
      <c r="D108" s="0" t="n">
        <v>9</v>
      </c>
      <c r="E108" s="0" t="n">
        <v>117</v>
      </c>
      <c r="G108" s="0" t="s">
        <v>1141</v>
      </c>
      <c r="H108" s="0" t="s">
        <v>1142</v>
      </c>
      <c r="I108" s="0" t="s">
        <v>57</v>
      </c>
      <c r="J108" s="0" t="s">
        <v>860</v>
      </c>
      <c r="K108" s="0" t="s">
        <v>827</v>
      </c>
      <c r="L108" s="0" t="e">
        <f aca="false" t="array" ref="L108:L108">IF(D108&lt;10, IF(COUNTIF(concat(TRIM('Переформатированный ответ'!$B$2:$B$200),TRIM('Переформатированный ответ'!$C$2:$C$200)),concat(TRIM(B108),TRIM(C108))) &gt; 0,"Есть","Нет"),"")</f>
        <v>#NAME?</v>
      </c>
      <c r="M108" s="0" t="n">
        <v>2</v>
      </c>
      <c r="O108" s="0" t="s">
        <v>57</v>
      </c>
    </row>
    <row r="109" customFormat="false" ht="15.75" hidden="false" customHeight="false" outlineLevel="0" collapsed="false">
      <c r="A109" s="0" t="n">
        <v>43223.7421923032</v>
      </c>
      <c r="B109" s="0" t="s">
        <v>329</v>
      </c>
      <c r="C109" s="0" t="s">
        <v>330</v>
      </c>
      <c r="D109" s="0" t="n">
        <v>9</v>
      </c>
      <c r="E109" s="0" t="n">
        <v>166</v>
      </c>
      <c r="G109" s="0" t="s">
        <v>1143</v>
      </c>
      <c r="H109" s="0" t="s">
        <v>1144</v>
      </c>
      <c r="I109" s="0" t="s">
        <v>850</v>
      </c>
      <c r="J109" s="0" t="s">
        <v>870</v>
      </c>
      <c r="K109" s="0" t="s">
        <v>39</v>
      </c>
      <c r="L109" s="0" t="e">
        <f aca="false" t="array" ref="L109:L109">IF(D109&lt;10, IF(COUNTIF(concat(TRIM('Переформатированный ответ'!$B$2:$B$200),TRIM('Переформатированный ответ'!$C$2:$C$200)),concat(TRIM(B109),TRIM(C109))) &gt; 0,"Есть","Нет"),"")</f>
        <v>#NAME?</v>
      </c>
      <c r="M109" s="0" t="n">
        <v>2</v>
      </c>
      <c r="O109" s="0" t="s">
        <v>850</v>
      </c>
    </row>
    <row r="110" customFormat="false" ht="15.75" hidden="false" customHeight="false" outlineLevel="0" collapsed="false">
      <c r="A110" s="0" t="n">
        <v>43223.7547053009</v>
      </c>
      <c r="B110" s="0" t="s">
        <v>1145</v>
      </c>
      <c r="C110" s="0" t="s">
        <v>1146</v>
      </c>
      <c r="D110" s="0" t="n">
        <v>9</v>
      </c>
      <c r="E110" s="0" t="n">
        <v>117</v>
      </c>
      <c r="G110" s="0" t="s">
        <v>1147</v>
      </c>
      <c r="H110" s="0" t="s">
        <v>1148</v>
      </c>
      <c r="I110" s="0" t="s">
        <v>833</v>
      </c>
      <c r="J110" s="0" t="s">
        <v>833</v>
      </c>
      <c r="K110" s="0" t="s">
        <v>39</v>
      </c>
      <c r="L110" s="0" t="e">
        <f aca="false" t="array" ref="L110:L110">IF(D110&lt;10, IF(COUNTIF(concat(TRIM('Переформатированный ответ'!$B$2:$B$200),TRIM('Переформатированный ответ'!$C$2:$C$200)),concat(TRIM(B110),TRIM(C110))) &gt; 0,"Есть","Нет"),"")</f>
        <v>#NAME?</v>
      </c>
      <c r="M110" s="0" t="n">
        <v>2</v>
      </c>
      <c r="O110" s="0" t="s">
        <v>833</v>
      </c>
    </row>
    <row r="111" customFormat="false" ht="15.75" hidden="false" customHeight="false" outlineLevel="0" collapsed="false">
      <c r="A111" s="0" t="n">
        <v>43223.7593068056</v>
      </c>
      <c r="B111" s="0" t="s">
        <v>1149</v>
      </c>
      <c r="C111" s="0" t="s">
        <v>1150</v>
      </c>
      <c r="D111" s="0" t="n">
        <v>9</v>
      </c>
      <c r="E111" s="0" t="n">
        <v>117</v>
      </c>
      <c r="G111" s="0" t="s">
        <v>1151</v>
      </c>
      <c r="H111" s="0" t="s">
        <v>1152</v>
      </c>
      <c r="I111" s="0" t="s">
        <v>833</v>
      </c>
      <c r="J111" s="0" t="s">
        <v>833</v>
      </c>
      <c r="K111" s="0" t="s">
        <v>39</v>
      </c>
      <c r="L111" s="0" t="e">
        <f aca="false" t="array" ref="L111:L111">IF(D111&lt;10, IF(COUNTIF(concat(TRIM('Переформатированный ответ'!$B$2:$B$200),TRIM('Переформатированный ответ'!$C$2:$C$200)),concat(TRIM(B111),TRIM(C111))) &gt; 0,"Есть","Нет"),"")</f>
        <v>#NAME?</v>
      </c>
      <c r="M111" s="0" t="n">
        <v>2</v>
      </c>
      <c r="O111" s="0" t="s">
        <v>833</v>
      </c>
    </row>
    <row r="112" customFormat="false" ht="15.75" hidden="false" customHeight="false" outlineLevel="0" collapsed="false">
      <c r="A112" s="0" t="n">
        <v>43223.7625038657</v>
      </c>
      <c r="B112" s="0" t="s">
        <v>491</v>
      </c>
      <c r="C112" s="0" t="s">
        <v>52</v>
      </c>
      <c r="D112" s="0" t="n">
        <v>7</v>
      </c>
      <c r="E112" s="0" t="n">
        <v>137</v>
      </c>
      <c r="F112" s="0" t="s">
        <v>1153</v>
      </c>
      <c r="G112" s="0" t="s">
        <v>493</v>
      </c>
      <c r="H112" s="0" t="s">
        <v>494</v>
      </c>
      <c r="I112" s="0" t="s">
        <v>850</v>
      </c>
      <c r="J112" s="0" t="s">
        <v>846</v>
      </c>
      <c r="K112" s="0" t="s">
        <v>39</v>
      </c>
      <c r="L112" s="0" t="e">
        <f aca="false" t="array" ref="L112:L112">IF(D112&lt;10, IF(COUNTIF(concat(TRIM('Переформатированный ответ'!$B$2:$B$200),TRIM('Переформатированный ответ'!$C$2:$C$200)),concat(TRIM(B112),TRIM(C112))) &gt; 0,"Есть","Нет"),"")</f>
        <v>#NAME?</v>
      </c>
      <c r="M112" s="0" t="n">
        <v>2</v>
      </c>
      <c r="O112" s="0" t="s">
        <v>850</v>
      </c>
    </row>
    <row r="113" customFormat="false" ht="15.75" hidden="false" customHeight="false" outlineLevel="0" collapsed="false">
      <c r="A113" s="0" t="n">
        <v>43223.7627728241</v>
      </c>
      <c r="B113" s="0" t="s">
        <v>204</v>
      </c>
      <c r="C113" s="0" t="s">
        <v>205</v>
      </c>
      <c r="D113" s="0" t="n">
        <v>8</v>
      </c>
      <c r="E113" s="0" t="n">
        <v>117</v>
      </c>
      <c r="G113" s="0" t="s">
        <v>1154</v>
      </c>
      <c r="H113" s="0" t="s">
        <v>207</v>
      </c>
      <c r="I113" s="0" t="s">
        <v>57</v>
      </c>
      <c r="J113" s="0" t="s">
        <v>834</v>
      </c>
      <c r="K113" s="0" t="s">
        <v>827</v>
      </c>
      <c r="L113" s="0" t="e">
        <f aca="false" t="array" ref="L113:L113">IF(D113&lt;10, IF(COUNTIF(concat(TRIM('Переформатированный ответ'!$B$2:$B$200),TRIM('Переформатированный ответ'!$C$2:$C$200)),concat(TRIM(B113),TRIM(C113))) &gt; 0,"Есть","Нет"),"")</f>
        <v>#NAME?</v>
      </c>
      <c r="M113" s="0" t="n">
        <v>2</v>
      </c>
      <c r="O113" s="0" t="s">
        <v>57</v>
      </c>
    </row>
    <row r="114" customFormat="false" ht="15.75" hidden="false" customHeight="false" outlineLevel="0" collapsed="false">
      <c r="A114" s="0" t="n">
        <v>43223.7632475232</v>
      </c>
      <c r="B114" s="0" t="s">
        <v>290</v>
      </c>
      <c r="C114" s="0" t="s">
        <v>142</v>
      </c>
      <c r="D114" s="0" t="n">
        <v>9</v>
      </c>
      <c r="E114" s="0" t="n">
        <v>117</v>
      </c>
      <c r="G114" s="0" t="s">
        <v>1155</v>
      </c>
      <c r="H114" s="0" t="s">
        <v>292</v>
      </c>
      <c r="I114" s="0" t="s">
        <v>57</v>
      </c>
      <c r="J114" s="0" t="s">
        <v>860</v>
      </c>
      <c r="K114" s="0" t="s">
        <v>39</v>
      </c>
      <c r="L114" s="0" t="e">
        <f aca="false" t="array" ref="L114:L114">IF(D114&lt;10, IF(COUNTIF(concat(TRIM('Переформатированный ответ'!$B$2:$B$200),TRIM('Переформатированный ответ'!$C$2:$C$200)),concat(TRIM(B114),TRIM(C114))) &gt; 0,"Есть","Нет"),"")</f>
        <v>#NAME?</v>
      </c>
      <c r="M114" s="0" t="n">
        <v>2</v>
      </c>
      <c r="O114" s="0" t="s">
        <v>57</v>
      </c>
    </row>
    <row r="115" customFormat="false" ht="15.75" hidden="false" customHeight="false" outlineLevel="0" collapsed="false">
      <c r="A115" s="0" t="n">
        <v>43223.776583588</v>
      </c>
      <c r="B115" s="0" t="s">
        <v>1156</v>
      </c>
      <c r="C115" s="0" t="s">
        <v>1157</v>
      </c>
      <c r="D115" s="0" t="n">
        <v>9</v>
      </c>
      <c r="E115" s="0" t="n">
        <v>36</v>
      </c>
      <c r="G115" s="0" t="s">
        <v>1158</v>
      </c>
      <c r="H115" s="0" t="s">
        <v>1159</v>
      </c>
      <c r="I115" s="0" t="s">
        <v>865</v>
      </c>
      <c r="J115" s="0" t="s">
        <v>833</v>
      </c>
      <c r="K115" s="0" t="s">
        <v>39</v>
      </c>
      <c r="L115" s="0" t="e">
        <f aca="false" t="array" ref="L115:L115">IF(D115&lt;10, IF(COUNTIF(concat(TRIM('Переформатированный ответ'!$B$2:$B$200),TRIM('Переформатированный ответ'!$C$2:$C$200)),concat(TRIM(B115),TRIM(C115))) &gt; 0,"Есть","Нет"),"")</f>
        <v>#NAME?</v>
      </c>
      <c r="M115" s="0" t="n">
        <v>2</v>
      </c>
      <c r="O115" s="0" t="s">
        <v>865</v>
      </c>
    </row>
    <row r="116" customFormat="false" ht="15.75" hidden="false" customHeight="false" outlineLevel="0" collapsed="false">
      <c r="A116" s="0" t="n">
        <v>43223.7834150579</v>
      </c>
      <c r="B116" s="0" t="s">
        <v>1160</v>
      </c>
      <c r="C116" s="0" t="s">
        <v>695</v>
      </c>
      <c r="D116" s="0" t="n">
        <v>9</v>
      </c>
      <c r="E116" s="0" t="n">
        <v>117</v>
      </c>
      <c r="G116" s="0" t="s">
        <v>1161</v>
      </c>
      <c r="H116" s="0" t="s">
        <v>1162</v>
      </c>
      <c r="I116" s="0" t="s">
        <v>846</v>
      </c>
      <c r="J116" s="0" t="s">
        <v>846</v>
      </c>
      <c r="K116" s="0" t="s">
        <v>39</v>
      </c>
      <c r="L116" s="0" t="e">
        <f aca="false" t="array" ref="L116:L116">IF(D116&lt;10, IF(COUNTIF(concat(TRIM('Переформатированный ответ'!$B$2:$B$200),TRIM('Переформатированный ответ'!$C$2:$C$200)),concat(TRIM(B116),TRIM(C116))) &gt; 0,"Есть","Нет"),"")</f>
        <v>#NAME?</v>
      </c>
      <c r="M116" s="0" t="n">
        <v>-1</v>
      </c>
      <c r="O116" s="0" t="s">
        <v>846</v>
      </c>
    </row>
    <row r="117" customFormat="false" ht="15.75" hidden="false" customHeight="false" outlineLevel="0" collapsed="false">
      <c r="A117" s="0" t="n">
        <v>43223.7955093056</v>
      </c>
      <c r="B117" s="0" t="s">
        <v>1163</v>
      </c>
      <c r="C117" s="0" t="s">
        <v>639</v>
      </c>
      <c r="D117" s="0" t="n">
        <v>8</v>
      </c>
      <c r="E117" s="0" t="n">
        <v>117</v>
      </c>
      <c r="G117" s="0" t="s">
        <v>1164</v>
      </c>
      <c r="H117" s="0" t="s">
        <v>1165</v>
      </c>
      <c r="I117" s="0" t="s">
        <v>846</v>
      </c>
      <c r="J117" s="0" t="s">
        <v>860</v>
      </c>
      <c r="K117" s="0" t="s">
        <v>827</v>
      </c>
      <c r="L117" s="0" t="e">
        <f aca="false" t="array" ref="L117:L117">IF(D117&lt;10, IF(COUNTIF(concat(TRIM('Переформатированный ответ'!$B$2:$B$200),TRIM('Переформатированный ответ'!$C$2:$C$200)),concat(TRIM(B117),TRIM(C117))) &gt; 0,"Есть","Нет"),"")</f>
        <v>#NAME?</v>
      </c>
      <c r="M117" s="0" t="n">
        <v>2</v>
      </c>
      <c r="O117" s="0" t="s">
        <v>846</v>
      </c>
    </row>
    <row r="118" customFormat="false" ht="15.75" hidden="false" customHeight="false" outlineLevel="0" collapsed="false">
      <c r="A118" s="0" t="n">
        <v>43223.8218535764</v>
      </c>
      <c r="B118" s="0" t="s">
        <v>58</v>
      </c>
      <c r="C118" s="0" t="s">
        <v>59</v>
      </c>
      <c r="D118" s="0" t="n">
        <v>9</v>
      </c>
      <c r="E118" s="0" t="n">
        <v>150</v>
      </c>
      <c r="G118" s="0" t="s">
        <v>1166</v>
      </c>
      <c r="H118" s="0" t="s">
        <v>62</v>
      </c>
      <c r="I118" s="0" t="s">
        <v>833</v>
      </c>
      <c r="J118" s="0" t="s">
        <v>826</v>
      </c>
      <c r="K118" s="0" t="s">
        <v>39</v>
      </c>
      <c r="L118" s="0" t="e">
        <f aca="false" t="array" ref="L118:L118">IF(D118&lt;10, IF(COUNTIF(concat(TRIM('Переформатированный ответ'!$B$2:$B$200),TRIM('Переформатированный ответ'!$C$2:$C$200)),concat(TRIM(B118),TRIM(C118))) &gt; 0,"Есть","Нет"),"")</f>
        <v>#NAME?</v>
      </c>
      <c r="M118" s="0" t="n">
        <v>-1</v>
      </c>
      <c r="O118" s="0" t="s">
        <v>833</v>
      </c>
    </row>
    <row r="119" customFormat="false" ht="15.75" hidden="false" customHeight="false" outlineLevel="0" collapsed="false">
      <c r="A119" s="0" t="n">
        <v>43223.8547573264</v>
      </c>
      <c r="B119" s="0" t="s">
        <v>1167</v>
      </c>
      <c r="C119" s="0" t="s">
        <v>1112</v>
      </c>
      <c r="D119" s="0" t="n">
        <v>8</v>
      </c>
      <c r="E119" s="0" t="n">
        <v>44</v>
      </c>
      <c r="F119" s="0" t="s">
        <v>1168</v>
      </c>
      <c r="G119" s="0" t="s">
        <v>1169</v>
      </c>
      <c r="H119" s="0" t="s">
        <v>1170</v>
      </c>
      <c r="I119" s="0" t="s">
        <v>130</v>
      </c>
      <c r="J119" s="0" t="s">
        <v>846</v>
      </c>
      <c r="K119" s="0" t="s">
        <v>39</v>
      </c>
      <c r="L119" s="0" t="e">
        <f aca="false" t="array" ref="L119:L119">IF(D119&lt;10, IF(COUNTIF(concat(TRIM('Переформатированный ответ'!$B$2:$B$200),TRIM('Переформатированный ответ'!$C$2:$C$200)),concat(TRIM(B119),TRIM(C119))) &gt; 0,"Есть","Нет"),"")</f>
        <v>#NAME?</v>
      </c>
      <c r="M119" s="0" t="n">
        <v>2</v>
      </c>
      <c r="O119" s="0" t="s">
        <v>130</v>
      </c>
    </row>
    <row r="120" customFormat="false" ht="15.75" hidden="false" customHeight="false" outlineLevel="0" collapsed="false">
      <c r="A120" s="0" t="n">
        <v>43224.2159192708</v>
      </c>
      <c r="B120" s="0" t="s">
        <v>308</v>
      </c>
      <c r="C120" s="0" t="s">
        <v>90</v>
      </c>
      <c r="D120" s="0" t="n">
        <v>7</v>
      </c>
      <c r="E120" s="0" t="n">
        <v>137</v>
      </c>
      <c r="G120" s="0" t="s">
        <v>1171</v>
      </c>
      <c r="H120" s="0" t="s">
        <v>1172</v>
      </c>
      <c r="I120" s="0" t="s">
        <v>850</v>
      </c>
      <c r="J120" s="0" t="s">
        <v>846</v>
      </c>
      <c r="K120" s="0" t="s">
        <v>39</v>
      </c>
      <c r="L120" s="0" t="e">
        <f aca="false" t="array" ref="L120:L120">IF(D120&lt;10, IF(COUNTIF(concat(TRIM('Переформатированный ответ'!$B$2:$B$200),TRIM('Переформатированный ответ'!$C$2:$C$200)),concat(TRIM(B120),TRIM(C120))) &gt; 0,"Есть","Нет"),"")</f>
        <v>#NAME?</v>
      </c>
      <c r="M120" s="0" t="n">
        <v>2</v>
      </c>
      <c r="O120" s="0" t="s">
        <v>850</v>
      </c>
    </row>
    <row r="121" customFormat="false" ht="15.75" hidden="false" customHeight="false" outlineLevel="0" collapsed="false">
      <c r="A121" s="0" t="n">
        <v>43224.4855982523</v>
      </c>
      <c r="B121" s="0" t="s">
        <v>1173</v>
      </c>
      <c r="C121" s="0" t="s">
        <v>1174</v>
      </c>
      <c r="D121" s="0" t="n">
        <v>9</v>
      </c>
      <c r="E121" s="0" t="n">
        <v>117</v>
      </c>
      <c r="F121" s="0" t="s">
        <v>1175</v>
      </c>
      <c r="G121" s="0" t="s">
        <v>1176</v>
      </c>
      <c r="H121" s="0" t="s">
        <v>1177</v>
      </c>
      <c r="I121" s="0" t="s">
        <v>833</v>
      </c>
      <c r="J121" s="0" t="s">
        <v>850</v>
      </c>
      <c r="K121" s="0" t="s">
        <v>39</v>
      </c>
      <c r="L121" s="0" t="e">
        <f aca="false" t="array" ref="L121:L121">IF(D121&lt;10, IF(COUNTIF(concat(TRIM('Переформатированный ответ'!$B$2:$B$200),TRIM('Переформатированный ответ'!$C$2:$C$200)),concat(TRIM(B121),TRIM(C121))) &gt; 0,"Есть","Нет"),"")</f>
        <v>#NAME?</v>
      </c>
      <c r="M121" s="0" t="n">
        <v>2</v>
      </c>
      <c r="O121" s="0" t="s">
        <v>833</v>
      </c>
    </row>
    <row r="122" customFormat="false" ht="15.75" hidden="false" customHeight="false" outlineLevel="0" collapsed="false">
      <c r="A122" s="0" t="n">
        <v>43224.5432494329</v>
      </c>
      <c r="B122" s="0" t="s">
        <v>1178</v>
      </c>
      <c r="C122" s="0" t="s">
        <v>285</v>
      </c>
      <c r="D122" s="0" t="n">
        <v>10</v>
      </c>
      <c r="E122" s="0" t="n">
        <v>117</v>
      </c>
      <c r="G122" s="0" t="s">
        <v>1179</v>
      </c>
      <c r="H122" s="0" t="s">
        <v>1180</v>
      </c>
      <c r="I122" s="0" t="s">
        <v>130</v>
      </c>
      <c r="J122" s="0" t="s">
        <v>846</v>
      </c>
      <c r="K122" s="0" t="s">
        <v>39</v>
      </c>
      <c r="L122" s="0" t="str">
        <f aca="false" t="array" ref="L122:L122">IF(D122&lt;10, IF(COUNTIF(concat(TRIM('Переформатированный ответ'!$B$2:$B$200),TRIM('Переформатированный ответ'!$C$2:$C$200)),concat(TRIM(B122),TRIM(C122))) &gt; 0,"Есть","Нет"),"")</f>
        <v/>
      </c>
      <c r="M122" s="0" t="n">
        <v>2</v>
      </c>
      <c r="N122" s="0" t="s">
        <v>1181</v>
      </c>
      <c r="O122" s="0" t="s">
        <v>130</v>
      </c>
    </row>
    <row r="123" customFormat="false" ht="15.75" hidden="false" customHeight="false" outlineLevel="0" collapsed="false">
      <c r="A123" s="0" t="n">
        <v>43224.6667437037</v>
      </c>
      <c r="B123" s="0" t="s">
        <v>274</v>
      </c>
      <c r="C123" s="0" t="s">
        <v>275</v>
      </c>
      <c r="D123" s="0" t="n">
        <v>9</v>
      </c>
      <c r="E123" s="0" t="n">
        <v>36</v>
      </c>
      <c r="G123" s="0" t="s">
        <v>1182</v>
      </c>
      <c r="H123" s="0" t="s">
        <v>278</v>
      </c>
      <c r="I123" s="0" t="s">
        <v>57</v>
      </c>
      <c r="J123" s="0" t="s">
        <v>850</v>
      </c>
      <c r="K123" s="0" t="s">
        <v>39</v>
      </c>
      <c r="L123" s="0" t="e">
        <f aca="false" t="array" ref="L123:L123">IF(D123&lt;10, IF(COUNTIF(concat(TRIM('Переформатированный ответ'!$B$2:$B$200),TRIM('Переформатированный ответ'!$C$2:$C$200)),concat(TRIM(B123),TRIM(C123))) &gt; 0,"Есть","Нет"),"")</f>
        <v>#NAME?</v>
      </c>
      <c r="M123" s="0" t="n">
        <v>2</v>
      </c>
      <c r="O123" s="0" t="s">
        <v>57</v>
      </c>
    </row>
    <row r="124" customFormat="false" ht="15.75" hidden="false" customHeight="false" outlineLevel="0" collapsed="false">
      <c r="A124" s="0" t="n">
        <v>43224.7782697222</v>
      </c>
      <c r="B124" s="0" t="s">
        <v>1183</v>
      </c>
      <c r="C124" s="0" t="s">
        <v>270</v>
      </c>
      <c r="D124" s="0" t="n">
        <v>9</v>
      </c>
      <c r="E124" s="0" t="n">
        <v>1</v>
      </c>
      <c r="G124" s="0" t="s">
        <v>1184</v>
      </c>
      <c r="H124" s="0" t="s">
        <v>1185</v>
      </c>
      <c r="I124" s="0" t="s">
        <v>57</v>
      </c>
      <c r="J124" s="0" t="s">
        <v>848</v>
      </c>
      <c r="K124" s="0" t="s">
        <v>39</v>
      </c>
      <c r="L124" s="0" t="e">
        <f aca="false" t="array" ref="L124:L124">IF(D124&lt;10, IF(COUNTIF(concat(TRIM('Переформатированный ответ'!$B$2:$B$200),TRIM('Переформатированный ответ'!$C$2:$C$200)),concat(TRIM(B124),TRIM(C124))) &gt; 0,"Есть","Нет"),"")</f>
        <v>#NAME?</v>
      </c>
      <c r="M124" s="0" t="n">
        <v>2</v>
      </c>
      <c r="O124" s="0" t="s">
        <v>57</v>
      </c>
    </row>
    <row r="125" customFormat="false" ht="15.75" hidden="false" customHeight="false" outlineLevel="0" collapsed="false">
      <c r="A125" s="0" t="n">
        <v>43225.515662581</v>
      </c>
      <c r="B125" s="0" t="s">
        <v>1186</v>
      </c>
      <c r="C125" s="0" t="s">
        <v>978</v>
      </c>
      <c r="D125" s="0" t="n">
        <v>9</v>
      </c>
      <c r="E125" s="0" t="n">
        <v>1</v>
      </c>
      <c r="G125" s="0" t="s">
        <v>1187</v>
      </c>
      <c r="H125" s="0" t="s">
        <v>1188</v>
      </c>
      <c r="I125" s="0" t="s">
        <v>826</v>
      </c>
      <c r="J125" s="0" t="s">
        <v>870</v>
      </c>
      <c r="K125" s="0" t="s">
        <v>39</v>
      </c>
      <c r="L125" s="0" t="e">
        <f aca="false" t="array" ref="L125:L125">IF(D125&lt;10, IF(COUNTIF(concat(TRIM('Переформатированный ответ'!$B$2:$B$200),TRIM('Переформатированный ответ'!$C$2:$C$200)),concat(TRIM(B125),TRIM(C125))) &gt; 0,"Есть","Нет"),"")</f>
        <v>#NAME?</v>
      </c>
      <c r="M125" s="0" t="n">
        <v>-1</v>
      </c>
      <c r="O125" s="0" t="s">
        <v>826</v>
      </c>
    </row>
    <row r="126" customFormat="false" ht="15.75" hidden="false" customHeight="false" outlineLevel="0" collapsed="false">
      <c r="A126" s="0" t="n">
        <v>43225.5176483102</v>
      </c>
      <c r="B126" s="0" t="s">
        <v>1189</v>
      </c>
      <c r="C126" s="0" t="s">
        <v>158</v>
      </c>
      <c r="D126" s="0" t="n">
        <v>9</v>
      </c>
      <c r="E126" s="0" t="n">
        <v>9</v>
      </c>
      <c r="G126" s="0" t="s">
        <v>1190</v>
      </c>
      <c r="H126" s="0" t="s">
        <v>1191</v>
      </c>
      <c r="I126" s="0" t="s">
        <v>850</v>
      </c>
      <c r="J126" s="0" t="s">
        <v>833</v>
      </c>
      <c r="K126" s="0" t="s">
        <v>827</v>
      </c>
      <c r="L126" s="0" t="e">
        <f aca="false" t="array" ref="L126:L126">IF(D126&lt;10, IF(COUNTIF(concat(TRIM('Переформатированный ответ'!$B$2:$B$200),TRIM('Переформатированный ответ'!$C$2:$C$200)),concat(TRIM(B126),TRIM(C126))) &gt; 0,"Есть","Нет"),"")</f>
        <v>#NAME?</v>
      </c>
      <c r="M126" s="0" t="n">
        <v>2</v>
      </c>
      <c r="O126" s="0" t="s">
        <v>850</v>
      </c>
    </row>
    <row r="127" customFormat="false" ht="15.75" hidden="false" customHeight="false" outlineLevel="0" collapsed="false">
      <c r="A127" s="0" t="n">
        <v>43225.6665562616</v>
      </c>
      <c r="B127" s="0" t="s">
        <v>21</v>
      </c>
      <c r="C127" s="0" t="s">
        <v>22</v>
      </c>
      <c r="D127" s="0" t="n">
        <v>7</v>
      </c>
      <c r="E127" s="0" t="n">
        <v>117</v>
      </c>
      <c r="G127" s="0" t="s">
        <v>1192</v>
      </c>
      <c r="H127" s="0" t="s">
        <v>24</v>
      </c>
      <c r="I127" s="0" t="s">
        <v>57</v>
      </c>
      <c r="J127" s="0" t="s">
        <v>850</v>
      </c>
      <c r="K127" s="0" t="s">
        <v>827</v>
      </c>
      <c r="L127" s="0" t="e">
        <f aca="false" t="array" ref="L127:L127">IF(D127&lt;10, IF(COUNTIF(concat(TRIM('Переформатированный ответ'!$B$2:$B$200),TRIM('Переформатированный ответ'!$C$2:$C$200)),concat(TRIM(B127),TRIM(C127))) &gt; 0,"Есть","Нет"),"")</f>
        <v>#NAME?</v>
      </c>
      <c r="M127" s="0" t="n">
        <v>2</v>
      </c>
      <c r="O127" s="0" t="s">
        <v>57</v>
      </c>
    </row>
    <row r="128" customFormat="false" ht="15.75" hidden="false" customHeight="false" outlineLevel="0" collapsed="false">
      <c r="A128" s="0" t="n">
        <v>43225.7389727894</v>
      </c>
      <c r="B128" s="0" t="s">
        <v>261</v>
      </c>
      <c r="C128" s="0" t="s">
        <v>262</v>
      </c>
      <c r="D128" s="0" t="n">
        <v>9</v>
      </c>
      <c r="E128" s="0" t="n">
        <v>64</v>
      </c>
      <c r="G128" s="0" t="s">
        <v>1193</v>
      </c>
      <c r="H128" s="0" t="s">
        <v>1194</v>
      </c>
      <c r="I128" s="0" t="s">
        <v>826</v>
      </c>
      <c r="J128" s="0" t="s">
        <v>846</v>
      </c>
      <c r="K128" s="0" t="s">
        <v>39</v>
      </c>
      <c r="L128" s="0" t="e">
        <f aca="false" t="array" ref="L128:L128">IF(D128&lt;10, IF(COUNTIF(concat(TRIM('Переформатированный ответ'!$B$2:$B$200),TRIM('Переформатированный ответ'!$C$2:$C$200)),concat(TRIM(B128),TRIM(C128))) &gt; 0,"Есть","Нет"),"")</f>
        <v>#NAME?</v>
      </c>
      <c r="M128" s="0" t="n">
        <v>2</v>
      </c>
      <c r="O128" s="0" t="s">
        <v>826</v>
      </c>
    </row>
    <row r="129" customFormat="false" ht="15.75" hidden="false" customHeight="false" outlineLevel="0" collapsed="false">
      <c r="A129" s="0" t="n">
        <v>43226.4241093287</v>
      </c>
      <c r="B129" s="0" t="s">
        <v>1195</v>
      </c>
      <c r="C129" s="0" t="s">
        <v>657</v>
      </c>
      <c r="D129" s="0" t="n">
        <v>7</v>
      </c>
      <c r="E129" s="0" t="n">
        <v>64</v>
      </c>
      <c r="G129" s="0" t="s">
        <v>1196</v>
      </c>
      <c r="H129" s="0" t="s">
        <v>1197</v>
      </c>
      <c r="I129" s="0" t="s">
        <v>846</v>
      </c>
      <c r="J129" s="0" t="s">
        <v>838</v>
      </c>
      <c r="K129" s="0" t="s">
        <v>39</v>
      </c>
      <c r="L129" s="0" t="e">
        <f aca="false" t="array" ref="L129:L129">IF(D129&lt;10, IF(COUNTIF(concat(TRIM('Переформатированный ответ'!$B$2:$B$200),TRIM('Переформатированный ответ'!$C$2:$C$200)),concat(TRIM(B129),TRIM(C129))) &gt; 0,"Есть","Нет"),"")</f>
        <v>#NAME?</v>
      </c>
      <c r="M129" s="0" t="n">
        <v>-1</v>
      </c>
      <c r="O129" s="0" t="s">
        <v>846</v>
      </c>
    </row>
    <row r="130" customFormat="false" ht="15.75" hidden="false" customHeight="false" outlineLevel="0" collapsed="false">
      <c r="A130" s="0" t="n">
        <v>43226.5020398264</v>
      </c>
      <c r="B130" s="0" t="s">
        <v>1198</v>
      </c>
      <c r="C130" s="0" t="s">
        <v>1199</v>
      </c>
      <c r="D130" s="0" t="n">
        <v>8</v>
      </c>
      <c r="E130" s="0" t="n">
        <v>117</v>
      </c>
      <c r="G130" s="0" t="s">
        <v>1200</v>
      </c>
      <c r="H130" s="0" t="s">
        <v>145</v>
      </c>
      <c r="I130" s="0" t="s">
        <v>826</v>
      </c>
      <c r="J130" s="0" t="s">
        <v>846</v>
      </c>
      <c r="K130" s="0" t="s">
        <v>39</v>
      </c>
      <c r="L130" s="0" t="e">
        <f aca="false" t="array" ref="L130:L130">IF(D130&lt;10, IF(COUNTIF(concat(TRIM('Переформатированный ответ'!$B$2:$B$200),TRIM('Переформатированный ответ'!$C$2:$C$200)),concat(TRIM(B130),TRIM(C130))) &gt; 0,"Есть","Нет"),"")</f>
        <v>#NAME?</v>
      </c>
      <c r="M130" s="0" t="n">
        <v>2</v>
      </c>
      <c r="O130" s="0" t="s">
        <v>826</v>
      </c>
    </row>
    <row r="131" customFormat="false" ht="15.75" hidden="false" customHeight="false" outlineLevel="0" collapsed="false">
      <c r="A131" s="0" t="n">
        <v>43226.5960114815</v>
      </c>
      <c r="B131" s="0" t="s">
        <v>1201</v>
      </c>
      <c r="C131" s="0" t="s">
        <v>739</v>
      </c>
      <c r="D131" s="0" t="n">
        <v>8</v>
      </c>
      <c r="E131" s="0" t="n">
        <v>117</v>
      </c>
      <c r="G131" s="0" t="s">
        <v>1202</v>
      </c>
      <c r="H131" s="0" t="s">
        <v>1203</v>
      </c>
      <c r="I131" s="0" t="s">
        <v>846</v>
      </c>
      <c r="J131" s="0" t="s">
        <v>848</v>
      </c>
      <c r="K131" s="0" t="s">
        <v>39</v>
      </c>
      <c r="L131" s="0" t="e">
        <f aca="false" t="array" ref="L131:L131">IF(D131&lt;10, IF(COUNTIF(concat(TRIM('Переформатированный ответ'!$B$2:$B$200),TRIM('Переформатированный ответ'!$C$2:$C$200)),concat(TRIM(B131),TRIM(C131))) &gt; 0,"Есть","Нет"),"")</f>
        <v>#NAME?</v>
      </c>
      <c r="M131" s="0" t="n">
        <v>2</v>
      </c>
      <c r="O131" s="0" t="s">
        <v>846</v>
      </c>
    </row>
    <row r="132" customFormat="false" ht="15.75" hidden="false" customHeight="false" outlineLevel="0" collapsed="false">
      <c r="A132" s="0" t="n">
        <v>43226.7282629051</v>
      </c>
      <c r="B132" s="0" t="s">
        <v>1204</v>
      </c>
      <c r="C132" s="0" t="s">
        <v>30</v>
      </c>
      <c r="D132" s="0" t="n">
        <v>9</v>
      </c>
      <c r="E132" s="0" t="n">
        <v>117</v>
      </c>
      <c r="G132" s="0" t="s">
        <v>1205</v>
      </c>
      <c r="H132" s="0" t="s">
        <v>1206</v>
      </c>
      <c r="I132" s="0" t="s">
        <v>57</v>
      </c>
      <c r="J132" s="0" t="s">
        <v>860</v>
      </c>
      <c r="K132" s="0" t="s">
        <v>39</v>
      </c>
      <c r="L132" s="0" t="e">
        <f aca="false" t="array" ref="L132:L132">IF(D132&lt;10, IF(COUNTIF(concat(TRIM('Переформатированный ответ'!$B$2:$B$200),TRIM('Переформатированный ответ'!$C$2:$C$200)),concat(TRIM(B132),TRIM(C132))) &gt; 0,"Есть","Нет"),"")</f>
        <v>#NAME?</v>
      </c>
      <c r="M132" s="0" t="n">
        <v>2</v>
      </c>
      <c r="O132" s="0" t="s">
        <v>57</v>
      </c>
    </row>
    <row r="133" customFormat="false" ht="15.75" hidden="false" customHeight="false" outlineLevel="0" collapsed="false">
      <c r="A133" s="0" t="n">
        <v>43226.7551663426</v>
      </c>
      <c r="B133" s="0" t="s">
        <v>1207</v>
      </c>
      <c r="C133" s="0" t="s">
        <v>687</v>
      </c>
      <c r="D133" s="0" t="n">
        <v>10</v>
      </c>
      <c r="E133" s="0" t="n">
        <v>64</v>
      </c>
      <c r="G133" s="0" t="s">
        <v>1208</v>
      </c>
      <c r="H133" s="0" t="s">
        <v>1209</v>
      </c>
      <c r="I133" s="0" t="s">
        <v>130</v>
      </c>
      <c r="J133" s="0" t="s">
        <v>834</v>
      </c>
      <c r="K133" s="0" t="s">
        <v>827</v>
      </c>
      <c r="L133" s="0" t="str">
        <f aca="false" t="array" ref="L133:L133">IF(D133&lt;10, IF(COUNTIF(concat(TRIM('Переформатированный ответ'!$B$2:$B$200),TRIM('Переформатированный ответ'!$C$2:$C$200)),concat(TRIM(B133),TRIM(C133))) &gt; 0,"Есть","Нет"),"")</f>
        <v/>
      </c>
      <c r="M133" s="0" t="n">
        <v>1</v>
      </c>
      <c r="O133" s="0" t="s">
        <v>130</v>
      </c>
    </row>
    <row r="134" customFormat="false" ht="15.75" hidden="false" customHeight="false" outlineLevel="0" collapsed="false">
      <c r="A134" s="0" t="n">
        <v>43226.7704610764</v>
      </c>
      <c r="B134" s="0" t="s">
        <v>1210</v>
      </c>
      <c r="C134" s="0" t="s">
        <v>350</v>
      </c>
      <c r="D134" s="0" t="n">
        <v>8</v>
      </c>
      <c r="E134" s="0" t="n">
        <v>123</v>
      </c>
      <c r="G134" s="0" t="s">
        <v>1211</v>
      </c>
      <c r="H134" s="0" t="s">
        <v>1212</v>
      </c>
      <c r="I134" s="0" t="s">
        <v>846</v>
      </c>
      <c r="J134" s="0" t="s">
        <v>848</v>
      </c>
      <c r="K134" s="0" t="s">
        <v>39</v>
      </c>
      <c r="L134" s="0" t="e">
        <f aca="false" t="array" ref="L134:L134">IF(D134&lt;10, IF(COUNTIF(concat(TRIM('Переформатированный ответ'!$B$2:$B$200),TRIM('Переформатированный ответ'!$C$2:$C$200)),concat(TRIM(B134),TRIM(C134))) &gt; 0,"Есть","Нет"),"")</f>
        <v>#NAME?</v>
      </c>
      <c r="M134" s="0" t="n">
        <v>2</v>
      </c>
      <c r="O134" s="0" t="s">
        <v>846</v>
      </c>
    </row>
    <row r="135" customFormat="false" ht="15.75" hidden="false" customHeight="false" outlineLevel="0" collapsed="false">
      <c r="A135" s="0" t="n">
        <v>43226.7720581134</v>
      </c>
      <c r="B135" s="0" t="s">
        <v>1213</v>
      </c>
      <c r="C135" s="0" t="s">
        <v>1214</v>
      </c>
      <c r="D135" s="0" t="n">
        <v>9</v>
      </c>
      <c r="E135" s="0" t="n">
        <v>117</v>
      </c>
      <c r="G135" s="0" t="s">
        <v>1215</v>
      </c>
      <c r="H135" s="0" t="s">
        <v>1216</v>
      </c>
      <c r="I135" s="0" t="s">
        <v>57</v>
      </c>
      <c r="J135" s="0" t="s">
        <v>860</v>
      </c>
      <c r="K135" s="0" t="s">
        <v>39</v>
      </c>
      <c r="L135" s="0" t="e">
        <f aca="false" t="array" ref="L135:L135">IF(D135&lt;10, IF(COUNTIF(concat(TRIM('Переформатированный ответ'!$B$2:$B$200),TRIM('Переформатированный ответ'!$C$2:$C$200)),concat(TRIM(B135),TRIM(C135))) &gt; 0,"Есть","Нет"),"")</f>
        <v>#NAME?</v>
      </c>
      <c r="M135" s="0" t="n">
        <v>2</v>
      </c>
      <c r="O135" s="0" t="s">
        <v>57</v>
      </c>
    </row>
    <row r="136" customFormat="false" ht="15.75" hidden="false" customHeight="false" outlineLevel="0" collapsed="false">
      <c r="A136" s="0" t="n">
        <v>43227.4966585764</v>
      </c>
      <c r="B136" s="0" t="s">
        <v>1217</v>
      </c>
      <c r="C136" s="0" t="s">
        <v>639</v>
      </c>
      <c r="D136" s="0" t="n">
        <v>9</v>
      </c>
      <c r="E136" s="0" t="n">
        <v>64</v>
      </c>
      <c r="G136" s="0" t="s">
        <v>1218</v>
      </c>
      <c r="H136" s="0" t="s">
        <v>1219</v>
      </c>
      <c r="I136" s="0" t="s">
        <v>57</v>
      </c>
      <c r="J136" s="0" t="s">
        <v>870</v>
      </c>
      <c r="K136" s="0" t="s">
        <v>39</v>
      </c>
      <c r="L136" s="0" t="e">
        <f aca="false" t="array" ref="L136:L136">IF(D136&lt;10, IF(COUNTIF(concat(TRIM('Переформатированный ответ'!$B$2:$B$200),TRIM('Переформатированный ответ'!$C$2:$C$200)),concat(TRIM(B136),TRIM(C136))) &gt; 0,"Есть","Нет"),"")</f>
        <v>#NAME?</v>
      </c>
      <c r="M136" s="0" t="n">
        <v>2</v>
      </c>
      <c r="O136" s="0" t="s">
        <v>57</v>
      </c>
    </row>
    <row r="137" customFormat="false" ht="15.75" hidden="false" customHeight="false" outlineLevel="0" collapsed="false">
      <c r="A137" s="0" t="n">
        <v>43227.5463791782</v>
      </c>
      <c r="B137" s="0" t="s">
        <v>1220</v>
      </c>
      <c r="C137" s="0" t="s">
        <v>142</v>
      </c>
      <c r="D137" s="0" t="n">
        <v>10</v>
      </c>
      <c r="E137" s="0" t="n">
        <v>19</v>
      </c>
      <c r="G137" s="0" t="s">
        <v>1221</v>
      </c>
      <c r="H137" s="0" t="s">
        <v>1222</v>
      </c>
      <c r="I137" s="0" t="s">
        <v>846</v>
      </c>
      <c r="J137" s="0" t="s">
        <v>834</v>
      </c>
      <c r="K137" s="0" t="s">
        <v>39</v>
      </c>
      <c r="L137" s="0" t="str">
        <f aca="false" t="array" ref="L137:L137">IF(D137&lt;10, IF(COUNTIF(concat(TRIM('Переформатированный ответ'!$B$2:$B$200),TRIM('Переформатированный ответ'!$C$2:$C$200)),concat(TRIM(B137),TRIM(C137))) &gt; 0,"Есть","Нет"),"")</f>
        <v/>
      </c>
      <c r="M137" s="0" t="n">
        <v>2</v>
      </c>
      <c r="O137" s="0" t="s">
        <v>846</v>
      </c>
    </row>
    <row r="138" customFormat="false" ht="15.75" hidden="false" customHeight="false" outlineLevel="0" collapsed="false">
      <c r="A138" s="0" t="n">
        <v>43227.6171484259</v>
      </c>
      <c r="B138" s="0" t="s">
        <v>1223</v>
      </c>
      <c r="C138" s="0" t="s">
        <v>427</v>
      </c>
      <c r="D138" s="0" t="n">
        <v>7</v>
      </c>
      <c r="E138" s="0" t="n">
        <v>146</v>
      </c>
      <c r="F138" s="0" t="s">
        <v>1224</v>
      </c>
      <c r="G138" s="0" t="s">
        <v>1225</v>
      </c>
      <c r="H138" s="0" t="s">
        <v>1226</v>
      </c>
      <c r="I138" s="0" t="s">
        <v>851</v>
      </c>
      <c r="J138" s="0" t="s">
        <v>846</v>
      </c>
      <c r="K138" s="0" t="s">
        <v>39</v>
      </c>
      <c r="L138" s="0" t="e">
        <f aca="false" t="array" ref="L138:L138">IF(D138&lt;10, IF(COUNTIF(concat(TRIM('Переформатированный ответ'!$B$2:$B$200),TRIM('Переформатированный ответ'!$C$2:$C$200)),concat(TRIM(B138),TRIM(C138))) &gt; 0,"Есть","Нет"),"")</f>
        <v>#NAME?</v>
      </c>
      <c r="M138" s="0" t="n">
        <v>2</v>
      </c>
      <c r="O138" s="0" t="s">
        <v>851</v>
      </c>
    </row>
    <row r="139" customFormat="false" ht="15.75" hidden="false" customHeight="false" outlineLevel="0" collapsed="false">
      <c r="A139" s="0" t="n">
        <v>43227.6227551736</v>
      </c>
      <c r="B139" s="0" t="s">
        <v>1227</v>
      </c>
      <c r="C139" s="0" t="s">
        <v>1228</v>
      </c>
      <c r="D139" s="0" t="n">
        <v>9</v>
      </c>
      <c r="E139" s="0" t="n">
        <v>117</v>
      </c>
      <c r="G139" s="0" t="s">
        <v>1229</v>
      </c>
      <c r="H139" s="0" t="s">
        <v>1230</v>
      </c>
      <c r="I139" s="0" t="s">
        <v>833</v>
      </c>
      <c r="J139" s="0" t="s">
        <v>860</v>
      </c>
      <c r="K139" s="0" t="s">
        <v>39</v>
      </c>
      <c r="L139" s="0" t="e">
        <f aca="false" t="array" ref="L139:L139">IF(D139&lt;10, IF(COUNTIF(concat(TRIM('Переформатированный ответ'!$B$2:$B$200),TRIM('Переформатированный ответ'!$C$2:$C$200)),concat(TRIM(B139),TRIM(C139))) &gt; 0,"Есть","Нет"),"")</f>
        <v>#NAME?</v>
      </c>
      <c r="M139" s="0" t="n">
        <v>-1</v>
      </c>
      <c r="O139" s="0" t="s">
        <v>833</v>
      </c>
    </row>
    <row r="140" customFormat="false" ht="15.75" hidden="false" customHeight="false" outlineLevel="0" collapsed="false">
      <c r="A140" s="0" t="n">
        <v>43227.6658950463</v>
      </c>
      <c r="B140" s="0" t="s">
        <v>51</v>
      </c>
      <c r="C140" s="0" t="s">
        <v>52</v>
      </c>
      <c r="D140" s="0" t="n">
        <v>9</v>
      </c>
      <c r="E140" s="0" t="n">
        <v>64</v>
      </c>
      <c r="G140" s="0" t="s">
        <v>1231</v>
      </c>
      <c r="H140" s="0" t="s">
        <v>56</v>
      </c>
      <c r="I140" s="0" t="s">
        <v>57</v>
      </c>
      <c r="J140" s="0" t="s">
        <v>870</v>
      </c>
      <c r="K140" s="0" t="s">
        <v>39</v>
      </c>
      <c r="L140" s="0" t="e">
        <f aca="false" t="array" ref="L140:L140">IF(D140&lt;10, IF(COUNTIF(concat(TRIM('Переформатированный ответ'!$B$2:$B$200),TRIM('Переформатированный ответ'!$C$2:$C$200)),concat(TRIM(B140),TRIM(C140))) &gt; 0,"Есть","Нет"),"")</f>
        <v>#NAME?</v>
      </c>
      <c r="M140" s="0" t="n">
        <v>2</v>
      </c>
      <c r="O140" s="0" t="s">
        <v>57</v>
      </c>
    </row>
    <row r="141" customFormat="false" ht="15.75" hidden="false" customHeight="false" outlineLevel="0" collapsed="false">
      <c r="A141" s="0" t="n">
        <v>43227.7043800695</v>
      </c>
      <c r="B141" s="0" t="s">
        <v>1232</v>
      </c>
      <c r="C141" s="0" t="s">
        <v>673</v>
      </c>
      <c r="D141" s="0" t="n">
        <v>7</v>
      </c>
      <c r="E141" s="0" t="n">
        <v>64</v>
      </c>
      <c r="G141" s="0" t="s">
        <v>1233</v>
      </c>
      <c r="H141" s="0" t="s">
        <v>1234</v>
      </c>
      <c r="I141" s="0" t="s">
        <v>846</v>
      </c>
      <c r="J141" s="0" t="s">
        <v>870</v>
      </c>
      <c r="K141" s="0" t="s">
        <v>39</v>
      </c>
      <c r="L141" s="0" t="e">
        <f aca="false" t="array" ref="L141:L141">IF(D141&lt;10, IF(COUNTIF(concat(TRIM('Переформатированный ответ'!$B$2:$B$200),TRIM('Переформатированный ответ'!$C$2:$C$200)),concat(TRIM(B141),TRIM(C141))) &gt; 0,"Есть","Нет"),"")</f>
        <v>#NAME?</v>
      </c>
      <c r="M141" s="0" t="n">
        <v>2</v>
      </c>
      <c r="O141" s="0" t="s">
        <v>846</v>
      </c>
    </row>
    <row r="142" customFormat="false" ht="15.75" hidden="false" customHeight="false" outlineLevel="0" collapsed="false">
      <c r="A142" s="0" t="n">
        <v>43227.7082518056</v>
      </c>
      <c r="B142" s="0" t="s">
        <v>1235</v>
      </c>
      <c r="C142" s="0" t="s">
        <v>1236</v>
      </c>
      <c r="D142" s="0" t="n">
        <v>10</v>
      </c>
      <c r="E142" s="0" t="n">
        <v>166</v>
      </c>
      <c r="G142" s="0" t="s">
        <v>1237</v>
      </c>
      <c r="H142" s="0" t="s">
        <v>1238</v>
      </c>
      <c r="I142" s="0" t="s">
        <v>130</v>
      </c>
      <c r="J142" s="0" t="s">
        <v>838</v>
      </c>
      <c r="K142" s="0" t="s">
        <v>39</v>
      </c>
      <c r="L142" s="0" t="str">
        <f aca="false" t="array" ref="L142:L142">IF(D142&lt;10, IF(COUNTIF(concat(TRIM('Переформатированный ответ'!$B$2:$B$200),TRIM('Переформатированный ответ'!$C$2:$C$200)),concat(TRIM(B142),TRIM(C142))) &gt; 0,"Есть","Нет"),"")</f>
        <v/>
      </c>
      <c r="M142" s="0" t="n">
        <v>2</v>
      </c>
      <c r="O142" s="0" t="s">
        <v>130</v>
      </c>
    </row>
    <row r="143" customFormat="false" ht="15.75" hidden="false" customHeight="false" outlineLevel="0" collapsed="false">
      <c r="A143" s="0" t="n">
        <v>43227.7822928357</v>
      </c>
      <c r="B143" s="0" t="s">
        <v>1239</v>
      </c>
      <c r="C143" s="0" t="s">
        <v>575</v>
      </c>
      <c r="D143" s="0" t="n">
        <v>10</v>
      </c>
      <c r="E143" s="0" t="n">
        <v>117</v>
      </c>
      <c r="G143" s="0" t="s">
        <v>1240</v>
      </c>
      <c r="H143" s="0" t="s">
        <v>1241</v>
      </c>
      <c r="I143" s="0" t="s">
        <v>846</v>
      </c>
      <c r="J143" s="0" t="s">
        <v>870</v>
      </c>
      <c r="K143" s="0" t="s">
        <v>39</v>
      </c>
      <c r="L143" s="0" t="str">
        <f aca="false" t="array" ref="L143:L143">IF(D143&lt;10, IF(COUNTIF(concat(TRIM('Переформатированный ответ'!$B$2:$B$200),TRIM('Переформатированный ответ'!$C$2:$C$200)),concat(TRIM(B143),TRIM(C143))) &gt; 0,"Есть","Нет"),"")</f>
        <v/>
      </c>
      <c r="M143" s="0" t="n">
        <v>2</v>
      </c>
      <c r="O143" s="0" t="s">
        <v>846</v>
      </c>
    </row>
    <row r="144" customFormat="false" ht="15.75" hidden="false" customHeight="false" outlineLevel="0" collapsed="false">
      <c r="A144" s="0" t="n">
        <v>43227.8281731019</v>
      </c>
      <c r="B144" s="0" t="s">
        <v>1242</v>
      </c>
      <c r="C144" s="0" t="s">
        <v>1243</v>
      </c>
      <c r="D144" s="0" t="n">
        <v>9</v>
      </c>
      <c r="E144" s="0" t="n">
        <v>117</v>
      </c>
      <c r="F144" s="0" t="s">
        <v>1244</v>
      </c>
      <c r="G144" s="0" t="s">
        <v>1245</v>
      </c>
      <c r="H144" s="0" t="s">
        <v>1246</v>
      </c>
      <c r="I144" s="0" t="s">
        <v>851</v>
      </c>
      <c r="J144" s="0" t="s">
        <v>826</v>
      </c>
      <c r="K144" s="0" t="s">
        <v>39</v>
      </c>
      <c r="L144" s="0" t="e">
        <f aca="false" t="array" ref="L144:L144">IF(D144&lt;10, IF(COUNTIF(concat(TRIM('Переформатированный ответ'!$B$2:$B$200),TRIM('Переформатированный ответ'!$C$2:$C$200)),concat(TRIM(B144),TRIM(C144))) &gt; 0,"Есть","Нет"),"")</f>
        <v>#NAME?</v>
      </c>
      <c r="M144" s="0" t="n">
        <v>2</v>
      </c>
      <c r="O144" s="0" t="s">
        <v>851</v>
      </c>
    </row>
    <row r="145" customFormat="false" ht="15.75" hidden="false" customHeight="false" outlineLevel="0" collapsed="false">
      <c r="A145" s="0" t="n">
        <v>43227.8903909144</v>
      </c>
      <c r="B145" s="0" t="s">
        <v>177</v>
      </c>
      <c r="C145" s="0" t="s">
        <v>1247</v>
      </c>
      <c r="D145" s="0" t="n">
        <v>8</v>
      </c>
      <c r="E145" s="0" t="n">
        <v>117</v>
      </c>
      <c r="G145" s="0" t="s">
        <v>1248</v>
      </c>
      <c r="H145" s="0" t="s">
        <v>181</v>
      </c>
      <c r="I145" s="0" t="s">
        <v>850</v>
      </c>
      <c r="J145" s="0" t="s">
        <v>860</v>
      </c>
      <c r="K145" s="0" t="s">
        <v>39</v>
      </c>
      <c r="L145" s="0" t="e">
        <f aca="false" t="array" ref="L145:L145">IF(D145&lt;10, IF(COUNTIF(concat(TRIM('Переформатированный ответ'!$B$2:$B$200),TRIM('Переформатированный ответ'!$C$2:$C$200)),concat(TRIM(B145),TRIM(C145))) &gt; 0,"Есть","Нет"),"")</f>
        <v>#NAME?</v>
      </c>
      <c r="M145" s="0" t="n">
        <v>2</v>
      </c>
      <c r="O145" s="0" t="s">
        <v>850</v>
      </c>
    </row>
    <row r="146" customFormat="false" ht="15.75" hidden="false" customHeight="false" outlineLevel="0" collapsed="false">
      <c r="A146" s="0" t="n">
        <v>43228.5591053588</v>
      </c>
      <c r="B146" s="0" t="s">
        <v>1249</v>
      </c>
      <c r="C146" s="0" t="s">
        <v>1012</v>
      </c>
      <c r="D146" s="0" t="n">
        <v>8</v>
      </c>
      <c r="E146" s="0" t="n">
        <v>166</v>
      </c>
      <c r="F146" s="0" t="s">
        <v>1250</v>
      </c>
      <c r="G146" s="0" t="s">
        <v>1251</v>
      </c>
      <c r="H146" s="0" t="s">
        <v>1252</v>
      </c>
      <c r="I146" s="0" t="s">
        <v>846</v>
      </c>
      <c r="J146" s="0" t="s">
        <v>860</v>
      </c>
      <c r="K146" s="0" t="s">
        <v>39</v>
      </c>
      <c r="L146" s="0" t="e">
        <f aca="false" t="array" ref="L146:L146">IF(D146&lt;10, IF(COUNTIF(concat(TRIM('Переформатированный ответ'!$B$2:$B$200),TRIM('Переформатированный ответ'!$C$2:$C$200)),concat(TRIM(B146),TRIM(C146))) &gt; 0,"Есть","Нет"),"")</f>
        <v>#NAME?</v>
      </c>
      <c r="M146" s="0" t="n">
        <v>2</v>
      </c>
      <c r="O146" s="0" t="s">
        <v>846</v>
      </c>
    </row>
    <row r="147" customFormat="false" ht="15.75" hidden="false" customHeight="false" outlineLevel="0" collapsed="false">
      <c r="A147" s="0" t="n">
        <v>43228.6803176505</v>
      </c>
      <c r="B147" s="0" t="s">
        <v>1253</v>
      </c>
      <c r="C147" s="0" t="s">
        <v>1254</v>
      </c>
      <c r="D147" s="0" t="n">
        <v>10</v>
      </c>
      <c r="E147" s="0" t="n">
        <v>56</v>
      </c>
      <c r="G147" s="0" t="s">
        <v>1255</v>
      </c>
      <c r="H147" s="0" t="s">
        <v>1256</v>
      </c>
      <c r="I147" s="0" t="s">
        <v>851</v>
      </c>
      <c r="J147" s="0" t="s">
        <v>860</v>
      </c>
      <c r="K147" s="0" t="s">
        <v>39</v>
      </c>
      <c r="L147" s="0" t="str">
        <f aca="false" t="array" ref="L147:L147">IF(D147&lt;10, IF(COUNTIF(concat(TRIM('Переформатированный ответ'!$B$2:$B$200),TRIM('Переформатированный ответ'!$C$2:$C$200)),concat(TRIM(B147),TRIM(C147))) &gt; 0,"Есть","Нет"),"")</f>
        <v/>
      </c>
      <c r="M147" s="0" t="n">
        <v>2</v>
      </c>
      <c r="O147" s="0" t="s">
        <v>851</v>
      </c>
    </row>
    <row r="148" customFormat="false" ht="15.75" hidden="false" customHeight="false" outlineLevel="0" collapsed="false">
      <c r="A148" s="0" t="n">
        <v>43228.7277380671</v>
      </c>
      <c r="B148" s="0" t="s">
        <v>1257</v>
      </c>
      <c r="C148" s="0" t="s">
        <v>1258</v>
      </c>
      <c r="D148" s="0" t="n">
        <v>9</v>
      </c>
      <c r="E148" s="0" t="n">
        <v>64</v>
      </c>
      <c r="G148" s="0" t="s">
        <v>1259</v>
      </c>
      <c r="H148" s="0" t="s">
        <v>1260</v>
      </c>
      <c r="I148" s="0" t="s">
        <v>826</v>
      </c>
      <c r="J148" s="0" t="s">
        <v>833</v>
      </c>
      <c r="K148" s="0" t="s">
        <v>39</v>
      </c>
      <c r="L148" s="0" t="e">
        <f aca="false" t="array" ref="L148:L148">IF(D148&lt;10, IF(COUNTIF(concat(TRIM('Переформатированный ответ'!$B$2:$B$200),TRIM('Переформатированный ответ'!$C$2:$C$200)),concat(TRIM(B148),TRIM(C148))) &gt; 0,"Есть","Нет"),"")</f>
        <v>#NAME?</v>
      </c>
      <c r="M148" s="0" t="n">
        <v>2</v>
      </c>
      <c r="O148" s="0" t="s">
        <v>826</v>
      </c>
    </row>
    <row r="149" customFormat="false" ht="15.75" hidden="false" customHeight="false" outlineLevel="0" collapsed="false">
      <c r="A149" s="0" t="n">
        <v>43228.8336673148</v>
      </c>
      <c r="B149" s="0" t="s">
        <v>369</v>
      </c>
      <c r="C149" s="0" t="s">
        <v>117</v>
      </c>
      <c r="D149" s="0" t="n">
        <v>8</v>
      </c>
      <c r="E149" s="0" t="n">
        <v>19</v>
      </c>
      <c r="F149" s="0" t="s">
        <v>1261</v>
      </c>
      <c r="G149" s="0" t="s">
        <v>372</v>
      </c>
      <c r="H149" s="0" t="s">
        <v>373</v>
      </c>
      <c r="I149" s="0" t="s">
        <v>846</v>
      </c>
      <c r="J149" s="0" t="s">
        <v>838</v>
      </c>
      <c r="K149" s="0" t="s">
        <v>39</v>
      </c>
      <c r="L149" s="0" t="e">
        <f aca="false" t="array" ref="L149:L149">IF(D149&lt;10, IF(COUNTIF(concat(TRIM('Переформатированный ответ'!$B$2:$B$200),TRIM('Переформатированный ответ'!$C$2:$C$200)),concat(TRIM(B149),TRIM(C149))) &gt; 0,"Есть","Нет"),"")</f>
        <v>#NAME?</v>
      </c>
      <c r="M149" s="0" t="n">
        <v>2</v>
      </c>
      <c r="O149" s="0" t="s">
        <v>846</v>
      </c>
    </row>
    <row r="150" customFormat="false" ht="15.75" hidden="false" customHeight="false" outlineLevel="0" collapsed="false">
      <c r="A150" s="0" t="n">
        <v>43229.3430317593</v>
      </c>
      <c r="B150" s="0" t="s">
        <v>1262</v>
      </c>
      <c r="C150" s="0" t="s">
        <v>1124</v>
      </c>
      <c r="D150" s="0" t="n">
        <v>7</v>
      </c>
      <c r="E150" s="0" t="n">
        <v>117</v>
      </c>
      <c r="F150" s="0" t="s">
        <v>1263</v>
      </c>
      <c r="G150" s="0" t="s">
        <v>1264</v>
      </c>
      <c r="H150" s="0" t="s">
        <v>1265</v>
      </c>
      <c r="I150" s="0" t="s">
        <v>850</v>
      </c>
      <c r="J150" s="0" t="s">
        <v>860</v>
      </c>
      <c r="K150" s="0" t="s">
        <v>39</v>
      </c>
      <c r="L150" s="0" t="e">
        <f aca="false" t="array" ref="L150:L150">IF(D150&lt;10, IF(COUNTIF(concat(TRIM('Переформатированный ответ'!$B$2:$B$200),TRIM('Переформатированный ответ'!$C$2:$C$200)),concat(TRIM(B150),TRIM(C150))) &gt; 0,"Есть","Нет"),"")</f>
        <v>#NAME?</v>
      </c>
      <c r="M150" s="0" t="n">
        <v>-1</v>
      </c>
      <c r="O150" s="0" t="s">
        <v>850</v>
      </c>
    </row>
    <row r="151" customFormat="false" ht="15.75" hidden="false" customHeight="false" outlineLevel="0" collapsed="false">
      <c r="A151" s="0" t="n">
        <v>43229.5072433333</v>
      </c>
      <c r="B151" s="0" t="s">
        <v>1266</v>
      </c>
      <c r="C151" s="0" t="s">
        <v>1267</v>
      </c>
      <c r="D151" s="0" t="n">
        <v>11</v>
      </c>
      <c r="E151" s="0" t="n">
        <v>64</v>
      </c>
      <c r="G151" s="0" t="s">
        <v>1268</v>
      </c>
      <c r="H151" s="0" t="s">
        <v>1269</v>
      </c>
      <c r="I151" s="0" t="s">
        <v>919</v>
      </c>
      <c r="J151" s="0" t="s">
        <v>850</v>
      </c>
      <c r="K151" s="0" t="s">
        <v>827</v>
      </c>
      <c r="L151" s="0" t="str">
        <f aca="false" t="array" ref="L151:L151">IF(D151&lt;10, IF(COUNTIF(concat(TRIM('Переформатированный ответ'!$B$2:$B$200),TRIM('Переформатированный ответ'!$C$2:$C$200)),concat(TRIM(B151),TRIM(C151))) &gt; 0,"Есть","Нет"),"")</f>
        <v/>
      </c>
      <c r="M151" s="0" t="n">
        <v>2</v>
      </c>
      <c r="O151" s="0" t="s">
        <v>919</v>
      </c>
    </row>
    <row r="152" customFormat="false" ht="15.75" hidden="false" customHeight="false" outlineLevel="0" collapsed="false">
      <c r="A152" s="0" t="n">
        <v>43239.5072453704</v>
      </c>
      <c r="B152" s="0" t="s">
        <v>579</v>
      </c>
      <c r="C152" s="0" t="s">
        <v>1270</v>
      </c>
      <c r="D152" s="0" t="n">
        <v>8</v>
      </c>
      <c r="E152" s="0" t="n">
        <v>117</v>
      </c>
      <c r="G152" s="0" t="s">
        <v>580</v>
      </c>
      <c r="I152" s="0" t="s">
        <v>130</v>
      </c>
      <c r="J152" s="0" t="s">
        <v>834</v>
      </c>
      <c r="K152" s="0" t="s">
        <v>39</v>
      </c>
      <c r="L152" s="0" t="e">
        <f aca="false" t="array" ref="L152:L152">IF(D152&lt;10, IF(COUNTIF(concat(TRIM('Переформатированный ответ'!$B$2:$B$200),TRIM('Переформатированный ответ'!$C$2:$C$200)),concat(TRIM(B152),TRIM(C152))) &gt; 0,"Есть","Нет"),"")</f>
        <v>#NAME?</v>
      </c>
      <c r="M152" s="0" t="n">
        <v>2</v>
      </c>
      <c r="O152" s="0" t="s">
        <v>130</v>
      </c>
    </row>
    <row r="153" customFormat="false" ht="15.75" hidden="false" customHeight="false" outlineLevel="0" collapsed="false">
      <c r="B153" s="0" t="s">
        <v>1271</v>
      </c>
      <c r="C153" s="0" t="s">
        <v>1272</v>
      </c>
      <c r="D153" s="0" t="n">
        <v>10</v>
      </c>
      <c r="E153" s="0" t="n">
        <v>117</v>
      </c>
      <c r="G153" s="0" t="s">
        <v>1273</v>
      </c>
      <c r="I153" s="0" t="s">
        <v>825</v>
      </c>
      <c r="J153" s="0" t="s">
        <v>826</v>
      </c>
      <c r="K153" s="0" t="s">
        <v>39</v>
      </c>
      <c r="L153" s="0" t="str">
        <f aca="false" t="array" ref="L153:L153">IF(D153&lt;10, IF(COUNTIF(concat(TRIM('Переформатированный ответ'!$B$2:$B$200),TRIM('Переформатированный ответ'!$C$2:$C$200)),concat(TRIM(B153),TRIM(C153))) &gt; 0,"Есть","Нет"),"")</f>
        <v/>
      </c>
      <c r="M153" s="0" t="n">
        <v>2</v>
      </c>
      <c r="N153" s="0" t="s">
        <v>1274</v>
      </c>
      <c r="O153" s="0" t="s">
        <v>825</v>
      </c>
    </row>
    <row r="154" customFormat="false" ht="15.75" hidden="false" customHeight="false" outlineLevel="0" collapsed="false">
      <c r="B154" s="0" t="s">
        <v>199</v>
      </c>
      <c r="C154" s="0" t="s">
        <v>200</v>
      </c>
      <c r="D154" s="0" t="n">
        <v>7</v>
      </c>
      <c r="E154" s="0" t="n">
        <v>117</v>
      </c>
      <c r="G154" s="0" t="s">
        <v>1275</v>
      </c>
      <c r="I154" s="0" t="s">
        <v>846</v>
      </c>
      <c r="J154" s="0" t="s">
        <v>860</v>
      </c>
      <c r="K154" s="0" t="s">
        <v>39</v>
      </c>
      <c r="L154" s="0" t="e">
        <f aca="false" t="array" ref="L154:L154">IF(D154&lt;10, IF(COUNTIF(concat(TRIM('Переформатированный ответ'!$B$2:$B$200),TRIM('Переформатированный ответ'!$C$2:$C$200)),concat(TRIM(B154),TRIM(C154))) &gt; 0,"Есть","Нет"),"")</f>
        <v>#NAME?</v>
      </c>
      <c r="M154" s="0" t="n">
        <v>2</v>
      </c>
      <c r="O154" s="0" t="s">
        <v>846</v>
      </c>
    </row>
    <row r="155" customFormat="false" ht="15.75" hidden="false" customHeight="false" outlineLevel="0" collapsed="false">
      <c r="B155" s="0" t="s">
        <v>1276</v>
      </c>
      <c r="C155" s="0" t="s">
        <v>122</v>
      </c>
      <c r="D155" s="0" t="n">
        <v>10</v>
      </c>
      <c r="E155" s="0" t="n">
        <v>117</v>
      </c>
      <c r="G155" s="0" t="s">
        <v>1277</v>
      </c>
      <c r="I155" s="0" t="s">
        <v>825</v>
      </c>
      <c r="J155" s="0" t="s">
        <v>860</v>
      </c>
      <c r="K155" s="0" t="s">
        <v>39</v>
      </c>
      <c r="L155" s="0" t="str">
        <f aca="false" t="array" ref="L155:L155">IF(D155&lt;10, IF(COUNTIF(concat(TRIM('Переформатированный ответ'!$B$2:$B$200),TRIM('Переформатированный ответ'!$C$2:$C$200)),concat(TRIM(B155),TRIM(C155))) &gt; 0,"Есть","Нет"),"")</f>
        <v/>
      </c>
      <c r="M155" s="0" t="n">
        <v>2</v>
      </c>
      <c r="O155" s="0" t="s">
        <v>825</v>
      </c>
    </row>
    <row r="156" customFormat="false" ht="15.75" hidden="false" customHeight="false" outlineLevel="0" collapsed="false">
      <c r="B156" s="0" t="s">
        <v>1278</v>
      </c>
      <c r="C156" s="0" t="s">
        <v>575</v>
      </c>
      <c r="D156" s="0" t="n">
        <v>8</v>
      </c>
      <c r="E156" s="0" t="n">
        <v>149</v>
      </c>
      <c r="I156" s="0" t="s">
        <v>826</v>
      </c>
      <c r="J156" s="0" t="s">
        <v>860</v>
      </c>
      <c r="K156" s="0" t="s">
        <v>39</v>
      </c>
      <c r="L156" s="0" t="e">
        <f aca="false" t="array" ref="L156:L156">IF(D156&lt;10, IF(COUNTIF(concat(TRIM('Переформатированный ответ'!$B$2:$B$200),TRIM('Переформатированный ответ'!$C$2:$C$200)),concat(TRIM(B156),TRIM(C156))) &gt; 0,"Есть","Нет"),"")</f>
        <v>#NAME?</v>
      </c>
      <c r="M156" s="0" t="n">
        <v>2</v>
      </c>
      <c r="O156" s="0" t="s">
        <v>826</v>
      </c>
    </row>
    <row r="157" customFormat="false" ht="15.75" hidden="false" customHeight="false" outlineLevel="0" collapsed="false">
      <c r="B157" s="0" t="s">
        <v>1279</v>
      </c>
      <c r="C157" s="0" t="s">
        <v>187</v>
      </c>
      <c r="D157" s="0" t="n">
        <v>9</v>
      </c>
      <c r="E157" s="0" t="n">
        <v>149</v>
      </c>
      <c r="I157" s="0" t="s">
        <v>850</v>
      </c>
      <c r="J157" s="0" t="s">
        <v>860</v>
      </c>
      <c r="K157" s="0" t="s">
        <v>39</v>
      </c>
      <c r="L157" s="0" t="e">
        <f aca="false" t="array" ref="L157:L157">IF(D157&lt;10, IF(COUNTIF(concat(TRIM('Переформатированный ответ'!$B$2:$B$200),TRIM('Переформатированный ответ'!$C$2:$C$200)),concat(TRIM(B157),TRIM(C157))) &gt; 0,"Есть","Нет"),"")</f>
        <v>#NAME?</v>
      </c>
      <c r="M157" s="0" t="n">
        <v>2</v>
      </c>
      <c r="O157" s="0" t="s">
        <v>850</v>
      </c>
    </row>
    <row r="158" customFormat="false" ht="15.75" hidden="false" customHeight="false" outlineLevel="0" collapsed="false">
      <c r="B158" s="0" t="s">
        <v>1280</v>
      </c>
      <c r="C158" s="0" t="s">
        <v>90</v>
      </c>
      <c r="D158" s="0" t="n">
        <v>10</v>
      </c>
      <c r="E158" s="0" t="n">
        <v>115</v>
      </c>
      <c r="G158" s="0" t="s">
        <v>1281</v>
      </c>
      <c r="I158" s="0" t="s">
        <v>833</v>
      </c>
      <c r="J158" s="0" t="s">
        <v>848</v>
      </c>
      <c r="K158" s="0" t="s">
        <v>39</v>
      </c>
      <c r="L158" s="0" t="str">
        <f aca="false" t="array" ref="L158:L158">IF(D158&lt;10, IF(COUNTIF(concat(TRIM('Переформатированный ответ'!$B$2:$B$200),TRIM('Переформатированный ответ'!$C$2:$C$200)),concat(TRIM(B158),TRIM(C158))) &gt; 0,"Есть","Нет"),"")</f>
        <v/>
      </c>
      <c r="M158" s="0" t="n">
        <v>2</v>
      </c>
      <c r="O158" s="0" t="s">
        <v>833</v>
      </c>
    </row>
    <row r="159" customFormat="false" ht="15.75" hidden="false" customHeight="false" outlineLevel="0" collapsed="false">
      <c r="B159" s="0" t="s">
        <v>284</v>
      </c>
      <c r="C159" s="0" t="s">
        <v>127</v>
      </c>
      <c r="D159" s="0" t="n">
        <v>10</v>
      </c>
      <c r="E159" s="0" t="n">
        <v>149</v>
      </c>
      <c r="G159" s="0" t="s">
        <v>251</v>
      </c>
      <c r="I159" s="0" t="s">
        <v>850</v>
      </c>
      <c r="J159" s="0" t="s">
        <v>848</v>
      </c>
      <c r="K159" s="0" t="s">
        <v>39</v>
      </c>
      <c r="L159" s="0" t="str">
        <f aca="false" t="array" ref="L159:L159">IF(D159&lt;10, IF(COUNTIF(concat(TRIM('Переформатированный ответ'!$B$2:$B$200),TRIM('Переформатированный ответ'!$C$2:$C$200)),concat(TRIM(B159),TRIM(C159))) &gt; 0,"Есть","Нет"),"")</f>
        <v/>
      </c>
      <c r="M159" s="0" t="n">
        <v>2</v>
      </c>
      <c r="O159" s="0" t="s">
        <v>850</v>
      </c>
    </row>
    <row r="160" customFormat="false" ht="15.75" hidden="false" customHeight="false" outlineLevel="0" collapsed="false">
      <c r="B160" s="0" t="s">
        <v>284</v>
      </c>
      <c r="C160" s="0" t="s">
        <v>285</v>
      </c>
      <c r="D160" s="0" t="n">
        <v>10</v>
      </c>
      <c r="E160" s="0" t="n">
        <v>149</v>
      </c>
      <c r="G160" s="0" t="s">
        <v>1282</v>
      </c>
      <c r="I160" s="0" t="s">
        <v>850</v>
      </c>
      <c r="J160" s="0" t="s">
        <v>848</v>
      </c>
      <c r="K160" s="0" t="s">
        <v>39</v>
      </c>
      <c r="L160" s="0" t="str">
        <f aca="false" t="array" ref="L160:L160">IF(D160&lt;10, IF(COUNTIF(concat(TRIM('Переформатированный ответ'!$B$2:$B$200),TRIM('Переформатированный ответ'!$C$2:$C$200)),concat(TRIM(B160),TRIM(C160))) &gt; 0,"Есть","Нет"),"")</f>
        <v/>
      </c>
      <c r="M160" s="0" t="n">
        <v>2</v>
      </c>
      <c r="O160" s="0" t="s">
        <v>850</v>
      </c>
    </row>
    <row r="161" customFormat="false" ht="15.75" hidden="false" customHeight="false" outlineLevel="0" collapsed="false">
      <c r="B161" s="0" t="s">
        <v>1283</v>
      </c>
      <c r="C161" s="0" t="s">
        <v>117</v>
      </c>
      <c r="D161" s="0" t="n">
        <v>9</v>
      </c>
      <c r="E161" s="0" t="n">
        <v>149</v>
      </c>
      <c r="G161" s="0" t="s">
        <v>1284</v>
      </c>
      <c r="I161" s="0" t="s">
        <v>825</v>
      </c>
      <c r="J161" s="0" t="s">
        <v>846</v>
      </c>
      <c r="K161" s="0" t="s">
        <v>39</v>
      </c>
      <c r="L161" s="0" t="e">
        <f aca="false" t="array" ref="L161:L161">IF(D161&lt;10, IF(COUNTIF(concat(TRIM('Переформатированный ответ'!$B$2:$B$200),TRIM('Переформатированный ответ'!$C$2:$C$200)),concat(TRIM(B161),TRIM(C161))) &gt; 0,"Есть","Нет"),"")</f>
        <v>#NAME?</v>
      </c>
      <c r="M161" s="0" t="n">
        <v>2</v>
      </c>
      <c r="O161" s="0" t="s">
        <v>825</v>
      </c>
    </row>
    <row r="162" customFormat="false" ht="15.75" hidden="false" customHeight="false" outlineLevel="0" collapsed="false">
      <c r="B162" s="0" t="s">
        <v>1227</v>
      </c>
      <c r="C162" s="0" t="s">
        <v>1228</v>
      </c>
      <c r="D162" s="0" t="n">
        <v>9</v>
      </c>
      <c r="E162" s="0" t="n">
        <v>117</v>
      </c>
      <c r="I162" s="0" t="s">
        <v>833</v>
      </c>
      <c r="J162" s="0" t="s">
        <v>846</v>
      </c>
      <c r="K162" s="0" t="s">
        <v>39</v>
      </c>
      <c r="L162" s="0" t="e">
        <f aca="false" t="array" ref="L162:L162">IF(D162&lt;10, IF(COUNTIF(concat(TRIM('Переформатированный ответ'!$B$2:$B$200),TRIM('Переформатированный ответ'!$C$2:$C$200)),concat(TRIM(B162),TRIM(C162))) &gt; 0,"Есть","Нет"),"")</f>
        <v>#NAME?</v>
      </c>
      <c r="M162" s="0" t="n">
        <v>2</v>
      </c>
      <c r="O162" s="0" t="s">
        <v>833</v>
      </c>
    </row>
    <row r="163" customFormat="false" ht="15.75" hidden="false" customHeight="false" outlineLevel="0" collapsed="false">
      <c r="B163" s="0" t="s">
        <v>738</v>
      </c>
      <c r="C163" s="0" t="s">
        <v>1285</v>
      </c>
      <c r="D163" s="0" t="n">
        <v>9</v>
      </c>
      <c r="E163" s="0" t="n">
        <v>117</v>
      </c>
      <c r="I163" s="0" t="s">
        <v>130</v>
      </c>
      <c r="J163" s="0" t="s">
        <v>846</v>
      </c>
      <c r="K163" s="0" t="s">
        <v>39</v>
      </c>
      <c r="L163" s="0" t="e">
        <f aca="false" t="array" ref="L163:L163">IF(D163&lt;10, IF(COUNTIF(concat(TRIM('Переформатированный ответ'!$B$2:$B$200),TRIM('Переформатированный ответ'!$C$2:$C$200)),concat(TRIM(B163),TRIM(C163))) &gt; 0,"Есть","Нет"),"")</f>
        <v>#NAME?</v>
      </c>
      <c r="M163" s="0" t="n">
        <v>2</v>
      </c>
      <c r="O163" s="0" t="s">
        <v>130</v>
      </c>
    </row>
    <row r="164" customFormat="false" ht="15.75" hidden="false" customHeight="false" outlineLevel="0" collapsed="false">
      <c r="B164" s="0" t="s">
        <v>1286</v>
      </c>
      <c r="C164" s="0" t="s">
        <v>30</v>
      </c>
      <c r="D164" s="0" t="n">
        <v>8</v>
      </c>
      <c r="E164" s="0" t="n">
        <v>25</v>
      </c>
      <c r="I164" s="0" t="s">
        <v>846</v>
      </c>
      <c r="J164" s="0" t="s">
        <v>834</v>
      </c>
      <c r="K164" s="0" t="s">
        <v>827</v>
      </c>
      <c r="L164" s="0" t="e">
        <f aca="false" t="array" ref="L164:L164">IF(D164&lt;10, IF(COUNTIF(concat(TRIM('Переформатированный ответ'!$B$2:$B$200),TRIM('Переформатированный ответ'!$C$2:$C$200)),concat(TRIM(B164),TRIM(C164))) &gt; 0,"Есть","Нет"),"")</f>
        <v>#NAME?</v>
      </c>
      <c r="M164" s="0" t="n">
        <v>2</v>
      </c>
      <c r="O164" s="0" t="s">
        <v>846</v>
      </c>
    </row>
    <row r="165" customFormat="false" ht="15.75" hidden="false" customHeight="false" outlineLevel="0" collapsed="false">
      <c r="B165" s="0" t="s">
        <v>297</v>
      </c>
      <c r="C165" s="0" t="s">
        <v>298</v>
      </c>
      <c r="D165" s="0" t="n">
        <v>9</v>
      </c>
      <c r="E165" s="0" t="n">
        <v>64</v>
      </c>
      <c r="I165" s="0" t="s">
        <v>826</v>
      </c>
      <c r="J165" s="0" t="s">
        <v>1287</v>
      </c>
      <c r="K165" s="0" t="s">
        <v>39</v>
      </c>
      <c r="L165" s="0" t="e">
        <f aca="false" t="array" ref="L165:L165">IF(D165&lt;10, IF(COUNTIF(concat(TRIM('Переформатированный ответ'!$B$2:$B$200),TRIM('Переформатированный ответ'!$C$2:$C$200)),concat(TRIM(B165),TRIM(C165))) &gt; 0,"Есть","Нет"),"")</f>
        <v>#NAME?</v>
      </c>
      <c r="M165" s="0" t="n">
        <v>2</v>
      </c>
      <c r="O165" s="0" t="s">
        <v>826</v>
      </c>
    </row>
    <row r="166" customFormat="false" ht="15.75" hidden="false" customHeight="false" outlineLevel="0" collapsed="false">
      <c r="B166" s="0" t="s">
        <v>1288</v>
      </c>
      <c r="C166" s="0" t="s">
        <v>435</v>
      </c>
      <c r="D166" s="0" t="n">
        <v>7</v>
      </c>
      <c r="E166" s="0" t="n">
        <v>117</v>
      </c>
      <c r="G166" s="0" t="s">
        <v>437</v>
      </c>
      <c r="I166" s="0" t="s">
        <v>130</v>
      </c>
      <c r="K166" s="0" t="s">
        <v>39</v>
      </c>
      <c r="L166" s="0" t="e">
        <f aca="false" t="array" ref="L166:L166">IF(D166&lt;10, IF(COUNTIF(concat(TRIM('Переформатированный ответ'!$B$2:$B$200),TRIM('Переформатированный ответ'!$C$2:$C$200)),concat(TRIM(B166),TRIM(C166))) &gt; 0,"Есть","Нет"),"")</f>
        <v>#NAME?</v>
      </c>
      <c r="M166" s="0" t="n">
        <v>2</v>
      </c>
      <c r="O166" s="0" t="s">
        <v>130</v>
      </c>
    </row>
    <row r="167" customFormat="false" ht="15.75" hidden="false" customHeight="false" outlineLevel="0" collapsed="false">
      <c r="B167" s="0" t="s">
        <v>1289</v>
      </c>
      <c r="C167" s="0" t="s">
        <v>90</v>
      </c>
      <c r="D167" s="0" t="n">
        <v>9</v>
      </c>
      <c r="E167" s="0" t="n">
        <v>117</v>
      </c>
      <c r="F167" s="0" t="s">
        <v>1290</v>
      </c>
      <c r="G167" s="0" t="s">
        <v>1291</v>
      </c>
      <c r="I167" s="0" t="s">
        <v>851</v>
      </c>
      <c r="J167" s="0" t="s">
        <v>870</v>
      </c>
      <c r="K167" s="0" t="s">
        <v>39</v>
      </c>
      <c r="L167" s="0" t="e">
        <f aca="false" t="array" ref="L167:L167">IF(D167&lt;10, IF(COUNTIF(concat(TRIM('Переформатированный ответ'!$B$2:$B$200),TRIM('Переформатированный ответ'!$C$2:$C$200)),concat(TRIM(B167),TRIM(C167))) &gt; 0,"Есть","Нет"),"")</f>
        <v>#NAME?</v>
      </c>
      <c r="M167" s="0" t="n">
        <v>2</v>
      </c>
      <c r="O167" s="0" t="s">
        <v>851</v>
      </c>
    </row>
    <row r="168" customFormat="false" ht="15.75" hidden="false" customHeight="false" outlineLevel="0" collapsed="false">
      <c r="B168" s="0" t="s">
        <v>116</v>
      </c>
      <c r="C168" s="0" t="s">
        <v>117</v>
      </c>
      <c r="D168" s="0" t="n">
        <v>9</v>
      </c>
      <c r="E168" s="0" t="n">
        <v>115</v>
      </c>
      <c r="G168" s="0" t="s">
        <v>118</v>
      </c>
      <c r="I168" s="0" t="s">
        <v>57</v>
      </c>
      <c r="J168" s="0" t="s">
        <v>850</v>
      </c>
      <c r="K168" s="0" t="s">
        <v>39</v>
      </c>
      <c r="L168" s="0" t="e">
        <f aca="false" t="array" ref="L168:L168">IF(D168&lt;10, IF(COUNTIF(concat(TRIM('Переформатированный ответ'!$B$2:$B$200),TRIM('Переформатированный ответ'!$C$2:$C$200)),concat(TRIM(B168),TRIM(C168))) &gt; 0,"Есть","Нет"),"")</f>
        <v>#NAME?</v>
      </c>
      <c r="M168" s="0" t="n">
        <v>2</v>
      </c>
      <c r="O168" s="0" t="s">
        <v>57</v>
      </c>
    </row>
    <row r="169" customFormat="false" ht="15.75" hidden="false" customHeight="false" outlineLevel="0" collapsed="false">
      <c r="B169" s="0" t="s">
        <v>669</v>
      </c>
      <c r="C169" s="0" t="s">
        <v>435</v>
      </c>
      <c r="D169" s="0" t="n">
        <v>9</v>
      </c>
      <c r="E169" s="0" t="n">
        <v>117</v>
      </c>
      <c r="G169" s="0" t="s">
        <v>670</v>
      </c>
      <c r="I169" s="0" t="s">
        <v>833</v>
      </c>
      <c r="J169" s="0" t="s">
        <v>846</v>
      </c>
      <c r="K169" s="0" t="s">
        <v>39</v>
      </c>
      <c r="L169" s="0" t="e">
        <f aca="false" t="array" ref="L169:L169">IF(D169&lt;10, IF(COUNTIF(concat(TRIM('Переформатированный ответ'!$B$2:$B$200),TRIM('Переформатированный ответ'!$C$2:$C$200)),concat(TRIM(B169),TRIM(C169))) &gt; 0,"Есть","Нет"),"")</f>
        <v>#NAME?</v>
      </c>
      <c r="M169" s="0" t="n">
        <v>2</v>
      </c>
      <c r="O169" s="0" t="s">
        <v>833</v>
      </c>
    </row>
    <row r="170" customFormat="false" ht="15.75" hidden="false" customHeight="false" outlineLevel="0" collapsed="false">
      <c r="B170" s="0" t="s">
        <v>1292</v>
      </c>
      <c r="C170" s="0" t="s">
        <v>45</v>
      </c>
      <c r="D170" s="0" t="n">
        <v>9</v>
      </c>
      <c r="E170" s="0" t="n">
        <v>115</v>
      </c>
      <c r="G170" s="0" t="s">
        <v>46</v>
      </c>
      <c r="I170" s="0" t="s">
        <v>846</v>
      </c>
      <c r="J170" s="0" t="s">
        <v>887</v>
      </c>
      <c r="K170" s="0" t="s">
        <v>827</v>
      </c>
      <c r="L170" s="0" t="e">
        <f aca="false" t="array" ref="L170:L170">IF(D170&lt;10, IF(COUNTIF(concat(TRIM('Переформатированный ответ'!$B$2:$B$200),TRIM('Переформатированный ответ'!$C$2:$C$200)),concat(TRIM(B170),TRIM(C170))) &gt; 0,"Есть","Нет"),"")</f>
        <v>#NAME?</v>
      </c>
      <c r="M170" s="0" t="n">
        <v>2</v>
      </c>
      <c r="O170" s="0" t="s">
        <v>846</v>
      </c>
    </row>
    <row r="171" customFormat="false" ht="15.75" hidden="false" customHeight="false" outlineLevel="0" collapsed="false">
      <c r="B171" s="0" t="s">
        <v>1293</v>
      </c>
      <c r="C171" s="0" t="s">
        <v>30</v>
      </c>
      <c r="D171" s="0" t="n">
        <v>7</v>
      </c>
      <c r="E171" s="0" t="n">
        <v>117</v>
      </c>
      <c r="G171" s="0" t="s">
        <v>1294</v>
      </c>
      <c r="I171" s="0" t="s">
        <v>846</v>
      </c>
      <c r="J171" s="0" t="s">
        <v>870</v>
      </c>
      <c r="K171" s="0" t="s">
        <v>39</v>
      </c>
      <c r="L171" s="0" t="e">
        <f aca="false" t="array" ref="L171:L171">IF(D171&lt;10, IF(COUNTIF(concat(TRIM('Переформатированный ответ'!$B$2:$B$200),TRIM('Переформатированный ответ'!$C$2:$C$200)),concat(TRIM(B171),TRIM(C171))) &gt; 0,"Есть","Нет"),"")</f>
        <v>#NAME?</v>
      </c>
      <c r="M171" s="0" t="n">
        <v>2</v>
      </c>
      <c r="O171" s="0" t="s">
        <v>846</v>
      </c>
    </row>
    <row r="172" customFormat="false" ht="15.75" hidden="false" customHeight="false" outlineLevel="0" collapsed="false">
      <c r="B172" s="0" t="s">
        <v>1295</v>
      </c>
      <c r="C172" s="0" t="s">
        <v>682</v>
      </c>
      <c r="D172" s="0" t="n">
        <v>9</v>
      </c>
      <c r="E172" s="0" t="n">
        <v>149</v>
      </c>
      <c r="G172" s="0" t="s">
        <v>1296</v>
      </c>
      <c r="I172" s="0" t="s">
        <v>825</v>
      </c>
      <c r="J172" s="0" t="s">
        <v>870</v>
      </c>
      <c r="K172" s="0" t="s">
        <v>39</v>
      </c>
      <c r="L172" s="0" t="e">
        <f aca="false" t="array" ref="L172:L172">IF(D172&lt;10, IF(COUNTIF(concat(TRIM('Переформатированный ответ'!$B$2:$B$200),TRIM('Переформатированный ответ'!$C$2:$C$200)),concat(TRIM(B172),TRIM(C172))) &gt; 0,"Есть","Нет"),"")</f>
        <v>#NAME?</v>
      </c>
      <c r="M172" s="0" t="n">
        <v>2</v>
      </c>
      <c r="O172" s="0" t="s">
        <v>825</v>
      </c>
    </row>
    <row r="173" customFormat="false" ht="15.75" hidden="false" customHeight="false" outlineLevel="0" collapsed="false">
      <c r="L173" s="0" t="n">
        <v>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2021-08-23T13:13:52Z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