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vmlDrawing1.vml" ContentType="application/vnd.openxmlformats-officedocument.vmlDrawing"/>
  <Override PartName="/xl/drawings/drawing4.xml" ContentType="application/vnd.openxmlformats-officedocument.drawing+xml"/>
  <Override PartName="/xl/drawings/vmlDrawing2.vml" ContentType="application/vnd.openxmlformats-officedocument.vmlDrawing"/>
  <Override PartName="/xl/sharedStrings.xml" ContentType="application/vnd.openxmlformats-officedocument.spreadsheetml.sharedString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5.xml.rels" ContentType="application/vnd.openxmlformats-package.relationships+xml"/>
  <Override PartName="/xl/worksheets/_rels/sheet12.xml.rels" ContentType="application/vnd.openxmlformats-package.relationships+xml"/>
  <Override PartName="/xl/worksheets/_rels/sheet15.xml.rels" ContentType="application/vnd.openxmlformats-package.relationships+xml"/>
  <Override PartName="/xl/worksheets/_rels/sheet18.xml.rels" ContentType="application/vnd.openxmlformats-package.relationship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/chart11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8.xml" ContentType="application/vnd.openxmlformats-officedocument.drawingml.chart+xml"/>
  <Override PartName="/xl/charts/chart12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se" sheetId="1" state="visible" r:id="rId2"/>
    <sheet name="Переформатированный ответ" sheetId="2" state="visible" r:id="rId3"/>
    <sheet name="Пдфка для детей" sheetId="3" state="visible" r:id="rId4"/>
    <sheet name="обрезанный Переформатированный " sheetId="4" state="visible" r:id="rId5"/>
    <sheet name="Статистика" sheetId="5" state="visible" r:id="rId6"/>
    <sheet name="Картинки" sheetId="6" state="visible" r:id="rId7"/>
    <sheet name="Оповещения" sheetId="7" state="visible" r:id="rId8"/>
    <sheet name="Списки по первой половине" sheetId="8" state="visible" r:id="rId9"/>
    <sheet name="Переводы" sheetId="9" state="visible" r:id="rId10"/>
    <sheet name="Обрезанные списки по первой пол" sheetId="10" state="visible" r:id="rId11"/>
    <sheet name="Copy of Обрезанные списки по пе" sheetId="11" state="visible" r:id="rId12"/>
    <sheet name="Списки по второй половине" sheetId="12" state="visible" r:id="rId13"/>
    <sheet name="Табличка для Сергея" sheetId="13" state="visible" r:id="rId14"/>
    <sheet name="Корреляции" sheetId="14" state="visible" r:id="rId15"/>
    <sheet name="Список прошлого года" sheetId="15" state="visible" r:id="rId16"/>
    <sheet name="Дети ЛГМШ" sheetId="16" state="visible" r:id="rId17"/>
    <sheet name="Кино" sheetId="17" state="visible" r:id="rId18"/>
    <sheet name="Кино результат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84" authorId="0">
      <text>
        <r>
          <rPr>
            <sz val="10"/>
            <color rgb="FF000000"/>
            <rFont val="Arial"/>
            <family val="0"/>
            <charset val="1"/>
          </rPr>
          <t xml:space="preserve">Широкоав</t>
        </r>
      </text>
    </comment>
    <comment ref="F7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7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G95" authorId="0">
      <text>
        <r>
          <rPr>
            <sz val="10"/>
            <color rgb="FF000000"/>
            <rFont val="Arial"/>
            <family val="0"/>
            <charset val="1"/>
          </rPr>
          <t xml:space="preserve">id308485017</t>
        </r>
      </text>
    </comment>
    <comment ref="G127" authorId="0">
      <text>
        <r>
          <rPr>
            <sz val="10"/>
            <color rgb="FF000000"/>
            <rFont val="Arial"/>
            <family val="0"/>
            <charset val="1"/>
          </rPr>
          <t xml:space="preserve">vk.com/</t>
        </r>
      </text>
    </comment>
    <comment ref="I47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I10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I13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J10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J13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J168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J132" authorId="0">
      <text>
        <r>
          <rPr>
            <sz val="10"/>
            <color rgb="FF000000"/>
            <rFont val="Arial"/>
            <family val="0"/>
            <charset val="1"/>
          </rPr>
          <t xml:space="preserve">Изменить на "Экономическое мышление и никакой математики!"
	-Кирилл Вирт</t>
        </r>
      </text>
    </comment>
  </commentList>
</comments>
</file>

<file path=xl/sharedStrings.xml><?xml version="1.0" encoding="utf-8"?>
<sst xmlns="http://schemas.openxmlformats.org/spreadsheetml/2006/main" count="5825" uniqueCount="1392">
  <si>
    <t xml:space="preserve">Timestamp</t>
  </si>
  <si>
    <t xml:space="preserve">Фамилия</t>
  </si>
  <si>
    <t xml:space="preserve">Имя</t>
  </si>
  <si>
    <t xml:space="preserve">Класс</t>
  </si>
  <si>
    <t xml:space="preserve">Ваша школа</t>
  </si>
  <si>
    <t xml:space="preserve">Дополнительная информация</t>
  </si>
  <si>
    <t xml:space="preserve">Вконтакте</t>
  </si>
  <si>
    <t xml:space="preserve">Ваш E-mail</t>
  </si>
  <si>
    <t xml:space="preserve">Выберите курс первой половины (5-11 июля)</t>
  </si>
  <si>
    <t xml:space="preserve">Выберите курс второй половины (12-18 июля)</t>
  </si>
  <si>
    <t xml:space="preserve">Гарбуз </t>
  </si>
  <si>
    <t xml:space="preserve">Арина </t>
  </si>
  <si>
    <t xml:space="preserve">vk.com/agarbus2003</t>
  </si>
  <si>
    <t xml:space="preserve">gaa7086@gmail.com</t>
  </si>
  <si>
    <t xml:space="preserve">Социология</t>
  </si>
  <si>
    <t xml:space="preserve">Биология</t>
  </si>
  <si>
    <t xml:space="preserve">Терещенко </t>
  </si>
  <si>
    <t xml:space="preserve">Алексей </t>
  </si>
  <si>
    <t xml:space="preserve">Боу оо моцро 117 </t>
  </si>
  <si>
    <t xml:space="preserve">Обожаю впс</t>
  </si>
  <si>
    <t xml:space="preserve">https://vk.com/id243002488</t>
  </si>
  <si>
    <t xml:space="preserve">leha.tarin@mail.ru</t>
  </si>
  <si>
    <t xml:space="preserve">Олимпиадная химия</t>
  </si>
  <si>
    <t xml:space="preserve">Теория вероятностей</t>
  </si>
  <si>
    <t xml:space="preserve">Власов</t>
  </si>
  <si>
    <t xml:space="preserve">Роман</t>
  </si>
  <si>
    <t xml:space="preserve">БОУ МОЦРО 117</t>
  </si>
  <si>
    <t xml:space="preserve">vk.com/kotyangensss</t>
  </si>
  <si>
    <t xml:space="preserve">optimys.prajm@mail.ru</t>
  </si>
  <si>
    <t xml:space="preserve">Введение в анализ данных</t>
  </si>
  <si>
    <t xml:space="preserve">Богданова</t>
  </si>
  <si>
    <t xml:space="preserve">Анастасия</t>
  </si>
  <si>
    <t xml:space="preserve">БОУ ОО"МОЦРО №117"</t>
  </si>
  <si>
    <t xml:space="preserve">vk.com/id206813526</t>
  </si>
  <si>
    <t xml:space="preserve">bogdanovaasya_2907@mail.ru</t>
  </si>
  <si>
    <t xml:space="preserve">Догадин</t>
  </si>
  <si>
    <t xml:space="preserve">Антон</t>
  </si>
  <si>
    <t xml:space="preserve">МОЦРО 117</t>
  </si>
  <si>
    <t xml:space="preserve">m.vk.com/djabella</t>
  </si>
  <si>
    <t xml:space="preserve">dogadina67@mail.ru</t>
  </si>
  <si>
    <t xml:space="preserve">Олимпиадная математика</t>
  </si>
  <si>
    <t xml:space="preserve">Калиниченко</t>
  </si>
  <si>
    <t xml:space="preserve">Арсений</t>
  </si>
  <si>
    <t xml:space="preserve">Нет</t>
  </si>
  <si>
    <t xml:space="preserve">arsenka2034@gmail.com</t>
  </si>
  <si>
    <t xml:space="preserve">Границы применимости физических моделей</t>
  </si>
  <si>
    <t xml:space="preserve">Ибатуллина</t>
  </si>
  <si>
    <t xml:space="preserve">Амалия</t>
  </si>
  <si>
    <t xml:space="preserve">https://m.vk.com/id262530619</t>
  </si>
  <si>
    <t xml:space="preserve">ibatullin77@yandex.ru</t>
  </si>
  <si>
    <t xml:space="preserve">Теория игр</t>
  </si>
  <si>
    <t xml:space="preserve">Введение в роль элитных противостояний в истории</t>
  </si>
  <si>
    <t xml:space="preserve">Гнедина</t>
  </si>
  <si>
    <t xml:space="preserve">Юлия</t>
  </si>
  <si>
    <t xml:space="preserve">https://vk.com/id316784802</t>
  </si>
  <si>
    <t xml:space="preserve">Lula_Gnedina@mail.ru</t>
  </si>
  <si>
    <t xml:space="preserve">Лазарев</t>
  </si>
  <si>
    <t xml:space="preserve">Анатолий</t>
  </si>
  <si>
    <t xml:space="preserve">Vk.com/lazarevtolyan</t>
  </si>
  <si>
    <t xml:space="preserve">lazarevl2001@gmail.com</t>
  </si>
  <si>
    <t xml:space="preserve">Муравьева</t>
  </si>
  <si>
    <t xml:space="preserve">Мария</t>
  </si>
  <si>
    <t xml:space="preserve">не могу присутствовать 16,17 и 18 июля</t>
  </si>
  <si>
    <t xml:space="preserve">vk.com/muravyeva2012</t>
  </si>
  <si>
    <t xml:space="preserve">maria.m2002@mail.ru</t>
  </si>
  <si>
    <t xml:space="preserve">Введение в российское право</t>
  </si>
  <si>
    <t xml:space="preserve">Александрова</t>
  </si>
  <si>
    <t xml:space="preserve">Валерия</t>
  </si>
  <si>
    <t xml:space="preserve">vk.com/licharovski </t>
  </si>
  <si>
    <t xml:space="preserve">licharovski@mail.ru</t>
  </si>
  <si>
    <t xml:space="preserve">Международное право</t>
  </si>
  <si>
    <t xml:space="preserve">Ксения</t>
  </si>
  <si>
    <t xml:space="preserve">Моцро 117</t>
  </si>
  <si>
    <t xml:space="preserve">Я смогу ходить в Сигму только до 15 июля. Дальше я уезжаб</t>
  </si>
  <si>
    <t xml:space="preserve">gnedina_03@mail.ru</t>
  </si>
  <si>
    <t xml:space="preserve">Черкасов</t>
  </si>
  <si>
    <t xml:space="preserve">Глеб</t>
  </si>
  <si>
    <t xml:space="preserve">БОУ ОО «МОЦРО 117»</t>
  </si>
  <si>
    <t xml:space="preserve">vk.com/maninthebluebox</t>
  </si>
  <si>
    <t xml:space="preserve">glebotron@gmail.com</t>
  </si>
  <si>
    <t xml:space="preserve">Матричная оптика</t>
  </si>
  <si>
    <t xml:space="preserve">Васильева</t>
  </si>
  <si>
    <t xml:space="preserve">БОУ ОО "МОЦРО 117"</t>
  </si>
  <si>
    <t xml:space="preserve">vk.com/sadmaris</t>
  </si>
  <si>
    <t xml:space="preserve">vas-77077@mail.ru</t>
  </si>
  <si>
    <t xml:space="preserve">Экономическое мышление и никакой математики!</t>
  </si>
  <si>
    <t xml:space="preserve">Капллани</t>
  </si>
  <si>
    <t xml:space="preserve">Марина</t>
  </si>
  <si>
    <t xml:space="preserve">Смогу посещать с 6 июля</t>
  </si>
  <si>
    <t xml:space="preserve">vk.com/mara.rina</t>
  </si>
  <si>
    <t xml:space="preserve">mkapllani3002@gmail.com</t>
  </si>
  <si>
    <t xml:space="preserve">Задворнов</t>
  </si>
  <si>
    <t xml:space="preserve">Вячеслав</t>
  </si>
  <si>
    <t xml:space="preserve">БОУ г. Омска «Средняя общеобразовательная школа № 34»</t>
  </si>
  <si>
    <t xml:space="preserve">https://vk.com/id209670944</t>
  </si>
  <si>
    <t xml:space="preserve">slzod@mail.ru</t>
  </si>
  <si>
    <t xml:space="preserve">Темерева</t>
  </si>
  <si>
    <t xml:space="preserve">Алиса</t>
  </si>
  <si>
    <t xml:space="preserve">https://vk.com/teemereva</t>
  </si>
  <si>
    <t xml:space="preserve">temerjevaalisa17@gmail.com</t>
  </si>
  <si>
    <t xml:space="preserve">lula@mail.ru</t>
  </si>
  <si>
    <t xml:space="preserve">Киямова</t>
  </si>
  <si>
    <t xml:space="preserve">Наиля</t>
  </si>
  <si>
    <t xml:space="preserve">Лицей 64</t>
  </si>
  <si>
    <t xml:space="preserve">vk.com/loiwwer</t>
  </si>
  <si>
    <t xml:space="preserve">nkom5507@gmail.com</t>
  </si>
  <si>
    <t xml:space="preserve">Выдрин</t>
  </si>
  <si>
    <t xml:space="preserve">vk.com/leepsi</t>
  </si>
  <si>
    <t xml:space="preserve">anton8311@mail.ru</t>
  </si>
  <si>
    <t xml:space="preserve">Олимпиадное программирование</t>
  </si>
  <si>
    <t xml:space="preserve">Уманский</t>
  </si>
  <si>
    <t xml:space="preserve">лице №64</t>
  </si>
  <si>
    <t xml:space="preserve">https://vk.com/umnayshe4ka</t>
  </si>
  <si>
    <t xml:space="preserve">superpo4ta.rom@gmail.com</t>
  </si>
  <si>
    <t xml:space="preserve">Кочурова </t>
  </si>
  <si>
    <t xml:space="preserve">Елизавета</t>
  </si>
  <si>
    <t xml:space="preserve">БОУ г. Омска "Лицей №137"</t>
  </si>
  <si>
    <t xml:space="preserve">https://vk.com/id308817000</t>
  </si>
  <si>
    <t xml:space="preserve">katyakochurova@bk.ru</t>
  </si>
  <si>
    <t xml:space="preserve">Воробей</t>
  </si>
  <si>
    <t xml:space="preserve">Дмитрий</t>
  </si>
  <si>
    <t xml:space="preserve">vk.com/id183865528</t>
  </si>
  <si>
    <t xml:space="preserve">mega.oioi@mail.ru</t>
  </si>
  <si>
    <t xml:space="preserve">Желдак</t>
  </si>
  <si>
    <t xml:space="preserve">Леонид</t>
  </si>
  <si>
    <t xml:space="preserve">БОУ ОО МОЦРО №117</t>
  </si>
  <si>
    <t xml:space="preserve">https://vk.com/lzheldak</t>
  </si>
  <si>
    <t xml:space="preserve">leonid.zheldak@yandex.ru</t>
  </si>
  <si>
    <t xml:space="preserve">Мобильный геймдев</t>
  </si>
  <si>
    <t xml:space="preserve">Левченко</t>
  </si>
  <si>
    <t xml:space="preserve">Владислав </t>
  </si>
  <si>
    <t xml:space="preserve">Лицей №64</t>
  </si>
  <si>
    <t xml:space="preserve">vk.com/zyymeboy</t>
  </si>
  <si>
    <t xml:space="preserve">levchenkoo.vladislav@gmail.com</t>
  </si>
  <si>
    <t xml:space="preserve">Тимомеев</t>
  </si>
  <si>
    <t xml:space="preserve">Рустам</t>
  </si>
  <si>
    <t xml:space="preserve">https://vk.com/1rustim1</t>
  </si>
  <si>
    <t xml:space="preserve">rustim111@mail.ru</t>
  </si>
  <si>
    <t xml:space="preserve">Ходарина</t>
  </si>
  <si>
    <t xml:space="preserve">Алина</t>
  </si>
  <si>
    <t xml:space="preserve">149 лицей при СибАДИ</t>
  </si>
  <si>
    <t xml:space="preserve">vk.com/ijustwannahearyouscreamagain</t>
  </si>
  <si>
    <t xml:space="preserve">alina_hodarina@mail.ru</t>
  </si>
  <si>
    <t xml:space="preserve">Рядовой</t>
  </si>
  <si>
    <t xml:space="preserve">Тимофей</t>
  </si>
  <si>
    <t xml:space="preserve">боу оо моцро 117</t>
  </si>
  <si>
    <t xml:space="preserve">https://vk.com/timfencing</t>
  </si>
  <si>
    <t xml:space="preserve">tim.ryadovou55@mail.ru</t>
  </si>
  <si>
    <t xml:space="preserve">Меня не будет в эту половину</t>
  </si>
  <si>
    <t xml:space="preserve">Едемский</t>
  </si>
  <si>
    <t xml:space="preserve">Вадим</t>
  </si>
  <si>
    <t xml:space="preserve">БОУ «СОШ 17»</t>
  </si>
  <si>
    <t xml:space="preserve">vk.com/sykessad</t>
  </si>
  <si>
    <t xml:space="preserve">vadimedemskii-05@mail.ru</t>
  </si>
  <si>
    <t xml:space="preserve">Крючков</t>
  </si>
  <si>
    <t xml:space="preserve">Сергей</t>
  </si>
  <si>
    <t xml:space="preserve">БОУ г. Омска «Лмцей №66»</t>
  </si>
  <si>
    <t xml:space="preserve">С самого начала до самого конца.</t>
  </si>
  <si>
    <t xml:space="preserve">vk.com/sergey80401</t>
  </si>
  <si>
    <t xml:space="preserve">sergey80401@gmail.com</t>
  </si>
  <si>
    <t xml:space="preserve">Сычов</t>
  </si>
  <si>
    <t xml:space="preserve">Семён</t>
  </si>
  <si>
    <t xml:space="preserve">vk.com/sermon.kokosov</t>
  </si>
  <si>
    <t xml:space="preserve">sermonkokoso@yandex.ru</t>
  </si>
  <si>
    <t xml:space="preserve">Протченко</t>
  </si>
  <si>
    <t xml:space="preserve">БОУ ОО "МОЦРО № 117"</t>
  </si>
  <si>
    <t xml:space="preserve">vk.com/id270970940</t>
  </si>
  <si>
    <t xml:space="preserve">protchenko-anastasiya-sergeevna@mail.ru</t>
  </si>
  <si>
    <t xml:space="preserve">Тулинская</t>
  </si>
  <si>
    <t xml:space="preserve">Джессика</t>
  </si>
  <si>
    <t xml:space="preserve">Лицей 54</t>
  </si>
  <si>
    <t xml:space="preserve">https://vk.com/jess41359473</t>
  </si>
  <si>
    <t xml:space="preserve">aprelka_25@mail.ru</t>
  </si>
  <si>
    <t xml:space="preserve">Михаил</t>
  </si>
  <si>
    <t xml:space="preserve">https://vk.com/mihagg1</t>
  </si>
  <si>
    <t xml:space="preserve">mihagg018@gmail.com</t>
  </si>
  <si>
    <t xml:space="preserve">Аверьянов</t>
  </si>
  <si>
    <t xml:space="preserve">Лицей 66</t>
  </si>
  <si>
    <t xml:space="preserve">vk.com/siemens1337</t>
  </si>
  <si>
    <t xml:space="preserve">bozdyzbro@gmail.com</t>
  </si>
  <si>
    <t xml:space="preserve">Программирование на arduino</t>
  </si>
  <si>
    <t xml:space="preserve">Драницын</t>
  </si>
  <si>
    <t xml:space="preserve">Виктор</t>
  </si>
  <si>
    <t xml:space="preserve">БОУ СОШ №17</t>
  </si>
  <si>
    <t xml:space="preserve">https://vk.com/shapebringer</t>
  </si>
  <si>
    <t xml:space="preserve">viktordranicyn@list.ru</t>
  </si>
  <si>
    <t xml:space="preserve">Шмидт</t>
  </si>
  <si>
    <t xml:space="preserve">Академический лицей при ОмГПУ</t>
  </si>
  <si>
    <t xml:space="preserve">https://vk.com/malenkaia_esho</t>
  </si>
  <si>
    <t xml:space="preserve">aliska_shmidt@list.ru</t>
  </si>
  <si>
    <t xml:space="preserve">Егор</t>
  </si>
  <si>
    <t xml:space="preserve">Лицей №66</t>
  </si>
  <si>
    <t xml:space="preserve">https://vk.com/egorkaegorih</t>
  </si>
  <si>
    <t xml:space="preserve">egorkaegorih@gmail.com</t>
  </si>
  <si>
    <t xml:space="preserve">Рыбалко </t>
  </si>
  <si>
    <t xml:space="preserve">Александра</t>
  </si>
  <si>
    <t xml:space="preserve">https://vk.com/lexxandria</t>
  </si>
  <si>
    <t xml:space="preserve">blue0alexandra0sky@gmail.com</t>
  </si>
  <si>
    <t xml:space="preserve">Яковлева</t>
  </si>
  <si>
    <t xml:space="preserve">Евгения</t>
  </si>
  <si>
    <t xml:space="preserve">Лицей 166</t>
  </si>
  <si>
    <t xml:space="preserve">https://vk.com/id324373436</t>
  </si>
  <si>
    <t xml:space="preserve">yakovleva-evgenia@list.ru</t>
  </si>
  <si>
    <t xml:space="preserve">Лицей № 66</t>
  </si>
  <si>
    <t xml:space="preserve">Шпакова</t>
  </si>
  <si>
    <t xml:space="preserve">Лицей НИУ ВШЭ</t>
  </si>
  <si>
    <t xml:space="preserve">https://m.vk.com/evlgenius</t>
  </si>
  <si>
    <t xml:space="preserve">shpakova1201@mail.ru</t>
  </si>
  <si>
    <t xml:space="preserve">rustim1112@gmail.com</t>
  </si>
  <si>
    <t xml:space="preserve">Ушакова</t>
  </si>
  <si>
    <t xml:space="preserve">Любовь</t>
  </si>
  <si>
    <t xml:space="preserve">БОУ ОО «МОЦРО №117»</t>
  </si>
  <si>
    <t xml:space="preserve">https://vk.com/liub04ka</t>
  </si>
  <si>
    <t xml:space="preserve">Luba2004@inbox.ru</t>
  </si>
  <si>
    <t xml:space="preserve">Давыдова </t>
  </si>
  <si>
    <t xml:space="preserve">Елизавета </t>
  </si>
  <si>
    <t xml:space="preserve">irina-davidoff@mail.ru</t>
  </si>
  <si>
    <t xml:space="preserve">Лапшин</t>
  </si>
  <si>
    <t xml:space="preserve">Георгий</t>
  </si>
  <si>
    <t xml:space="preserve">64 лицей</t>
  </si>
  <si>
    <t xml:space="preserve">gerlaps@gmail.com</t>
  </si>
  <si>
    <t xml:space="preserve">Бачинская</t>
  </si>
  <si>
    <t xml:space="preserve">Полина</t>
  </si>
  <si>
    <t xml:space="preserve">БОУ «Гимназия №19»</t>
  </si>
  <si>
    <t xml:space="preserve">https://vk.com/pbachinskaya2013</t>
  </si>
  <si>
    <t xml:space="preserve">bachinskaya.polina@mail.ru</t>
  </si>
  <si>
    <t xml:space="preserve">Голицына</t>
  </si>
  <si>
    <t xml:space="preserve">«МОЦРО» №117</t>
  </si>
  <si>
    <t xml:space="preserve">https://vk.com/id445282722</t>
  </si>
  <si>
    <t xml:space="preserve">katy198155@yandex.ru</t>
  </si>
  <si>
    <t xml:space="preserve">Анастасия </t>
  </si>
  <si>
    <t xml:space="preserve">Полина </t>
  </si>
  <si>
    <t xml:space="preserve">Сидоров </t>
  </si>
  <si>
    <t xml:space="preserve">Никита</t>
  </si>
  <si>
    <t xml:space="preserve">https://vk.com/nsidorov2001</t>
  </si>
  <si>
    <t xml:space="preserve">nikita.sidorov666@mail.ru</t>
  </si>
  <si>
    <t xml:space="preserve">Зольников</t>
  </si>
  <si>
    <t xml:space="preserve">Андрей</t>
  </si>
  <si>
    <t xml:space="preserve">http://vk.com/andrezolnikov</t>
  </si>
  <si>
    <t xml:space="preserve">zolnikov00@ya.ru</t>
  </si>
  <si>
    <t xml:space="preserve">Лян</t>
  </si>
  <si>
    <t xml:space="preserve">БОУ ОО МОЦРО 117</t>
  </si>
  <si>
    <t xml:space="preserve">https://vk.com/id225935599</t>
  </si>
  <si>
    <t xml:space="preserve">slava_lan@mail.ru</t>
  </si>
  <si>
    <t xml:space="preserve">Борисец </t>
  </si>
  <si>
    <t xml:space="preserve">МОЦРО 117 </t>
  </si>
  <si>
    <t xml:space="preserve">sherlock.2002@mail.ru</t>
  </si>
  <si>
    <t xml:space="preserve">Деркач</t>
  </si>
  <si>
    <t xml:space="preserve">vk.com/aderkach2017</t>
  </si>
  <si>
    <t xml:space="preserve">sasha_derkach@bk.ru</t>
  </si>
  <si>
    <t xml:space="preserve">Черных</t>
  </si>
  <si>
    <t xml:space="preserve">Софья</t>
  </si>
  <si>
    <t xml:space="preserve">БОУ г.Омска СОШ 63</t>
  </si>
  <si>
    <t xml:space="preserve">https://vk.com/id226113989</t>
  </si>
  <si>
    <t xml:space="preserve">sofya.chernyx@inbox.ru</t>
  </si>
  <si>
    <t xml:space="preserve">Панов</t>
  </si>
  <si>
    <t xml:space="preserve">Севастьян</t>
  </si>
  <si>
    <t xml:space="preserve">sevapanov@andex.ru</t>
  </si>
  <si>
    <t xml:space="preserve">Юдин</t>
  </si>
  <si>
    <t xml:space="preserve">Степан </t>
  </si>
  <si>
    <t xml:space="preserve">Лицей 64 </t>
  </si>
  <si>
    <t xml:space="preserve">https://vk.com/mrmeller12</t>
  </si>
  <si>
    <t xml:space="preserve">yvvy1997@mail.ru</t>
  </si>
  <si>
    <t xml:space="preserve">Бурляев</t>
  </si>
  <si>
    <t xml:space="preserve">Илья</t>
  </si>
  <si>
    <t xml:space="preserve">"МОЦРО №117"</t>
  </si>
  <si>
    <t xml:space="preserve">https://m.vk.com/id152267404</t>
  </si>
  <si>
    <t xml:space="preserve">ilya1burlyaev@mail.ru</t>
  </si>
  <si>
    <t xml:space="preserve">Зернюк </t>
  </si>
  <si>
    <t xml:space="preserve">БОУ ОО «МОЦРО» 117</t>
  </si>
  <si>
    <t xml:space="preserve">https://vk.com/id230203504</t>
  </si>
  <si>
    <t xml:space="preserve">andrei.zerniuk@gmail.com</t>
  </si>
  <si>
    <t xml:space="preserve">Джураева</t>
  </si>
  <si>
    <t xml:space="preserve">Рената</t>
  </si>
  <si>
    <t xml:space="preserve">лицей 64</t>
  </si>
  <si>
    <t xml:space="preserve">vk.com/renata_eva </t>
  </si>
  <si>
    <t xml:space="preserve">renata_dj@mail.ru</t>
  </si>
  <si>
    <t xml:space="preserve">Кацуба </t>
  </si>
  <si>
    <t xml:space="preserve">https://m.vk.com/id269671662</t>
  </si>
  <si>
    <t xml:space="preserve">kacuba1981kk@mail.ru</t>
  </si>
  <si>
    <t xml:space="preserve">Христолюбов</t>
  </si>
  <si>
    <t xml:space="preserve">Богдан</t>
  </si>
  <si>
    <t xml:space="preserve">Гимназия№146</t>
  </si>
  <si>
    <t xml:space="preserve">https://vk.com/id382406601</t>
  </si>
  <si>
    <t xml:space="preserve">b140103@list.ru</t>
  </si>
  <si>
    <t xml:space="preserve">Суднев</t>
  </si>
  <si>
    <t xml:space="preserve">Владимир</t>
  </si>
  <si>
    <t xml:space="preserve">БПОУ «Омавиат»</t>
  </si>
  <si>
    <t xml:space="preserve">vk.com/dref55</t>
  </si>
  <si>
    <t xml:space="preserve">drefteam@gmail.com</t>
  </si>
  <si>
    <t xml:space="preserve">Свиридова </t>
  </si>
  <si>
    <t xml:space="preserve">sviridova76@gmail.com</t>
  </si>
  <si>
    <t xml:space="preserve">Кравец </t>
  </si>
  <si>
    <t xml:space="preserve">Анна </t>
  </si>
  <si>
    <t xml:space="preserve">Академический лицей при ОМГпУ </t>
  </si>
  <si>
    <t xml:space="preserve">Могу быть весь учебный день в школе </t>
  </si>
  <si>
    <t xml:space="preserve">https://vk.com/id194845468</t>
  </si>
  <si>
    <t xml:space="preserve">kravec_anna@list.ru</t>
  </si>
  <si>
    <t xml:space="preserve">Ефимкина </t>
  </si>
  <si>
    <t xml:space="preserve">Академический лицей при ОМГПУ </t>
  </si>
  <si>
    <t xml:space="preserve">Могу весь учебный день</t>
  </si>
  <si>
    <t xml:space="preserve">https://vk.com/missis.nasta20</t>
  </si>
  <si>
    <t xml:space="preserve">missis.nasta20@yandex.ru</t>
  </si>
  <si>
    <t xml:space="preserve">Иова</t>
  </si>
  <si>
    <t xml:space="preserve">Илона</t>
  </si>
  <si>
    <t xml:space="preserve">Лицей 92</t>
  </si>
  <si>
    <t xml:space="preserve">С самого начала</t>
  </si>
  <si>
    <t xml:space="preserve">olga.iova@mail.ru</t>
  </si>
  <si>
    <t xml:space="preserve">Прохоров</t>
  </si>
  <si>
    <t xml:space="preserve">БОУ г.Омска Гимназия №139 </t>
  </si>
  <si>
    <t xml:space="preserve">https://vk.com/sergey.prokhorov2000</t>
  </si>
  <si>
    <t xml:space="preserve">sergeypro@inbox.ru</t>
  </si>
  <si>
    <t xml:space="preserve">Франк</t>
  </si>
  <si>
    <t xml:space="preserve">Яна</t>
  </si>
  <si>
    <t xml:space="preserve">БОУ ОО "МОЦРО" 117</t>
  </si>
  <si>
    <t xml:space="preserve">vk.com/yanafrank</t>
  </si>
  <si>
    <t xml:space="preserve">yana.f.2000@mail.ru</t>
  </si>
  <si>
    <t xml:space="preserve">Синельникова</t>
  </si>
  <si>
    <t xml:space="preserve">Поля</t>
  </si>
  <si>
    <t xml:space="preserve">Гимназия №19</t>
  </si>
  <si>
    <t xml:space="preserve">https://vk.com/aliceintowonderland</t>
  </si>
  <si>
    <t xml:space="preserve">rybkafu@mail.ru</t>
  </si>
  <si>
    <t xml:space="preserve">Мальцев</t>
  </si>
  <si>
    <t xml:space="preserve">Гимназия №140</t>
  </si>
  <si>
    <t xml:space="preserve">https://vk.com/id210046407</t>
  </si>
  <si>
    <t xml:space="preserve">ilyafish85@mail.ru</t>
  </si>
  <si>
    <t xml:space="preserve">Кузьмин</t>
  </si>
  <si>
    <t xml:space="preserve">Василий</t>
  </si>
  <si>
    <t xml:space="preserve">БОУ ОО "МОЦРО №117"</t>
  </si>
  <si>
    <t xml:space="preserve">https://vk.com/username1908</t>
  </si>
  <si>
    <t xml:space="preserve">re_1919@mail.ru</t>
  </si>
  <si>
    <t xml:space="preserve">Задорожная</t>
  </si>
  <si>
    <t xml:space="preserve">Виолетта</t>
  </si>
  <si>
    <t xml:space="preserve">https://vk.com/id198934365</t>
  </si>
  <si>
    <t xml:space="preserve">vitulya.zadorozhnaya@mail.ru</t>
  </si>
  <si>
    <t xml:space="preserve">Анохина</t>
  </si>
  <si>
    <t xml:space="preserve">БОУ ОО "МОЦРО" № 117</t>
  </si>
  <si>
    <t xml:space="preserve">vk.com/polinko_malinko</t>
  </si>
  <si>
    <t xml:space="preserve">Anokhinaa04@mail.ru</t>
  </si>
  <si>
    <t xml:space="preserve">Назаров</t>
  </si>
  <si>
    <t xml:space="preserve">Нариман</t>
  </si>
  <si>
    <t xml:space="preserve">Гимназия 62</t>
  </si>
  <si>
    <t xml:space="preserve">https://vk.com/id183448945</t>
  </si>
  <si>
    <t xml:space="preserve">nariman_nazarov@mail.ru</t>
  </si>
  <si>
    <t xml:space="preserve">Руль </t>
  </si>
  <si>
    <t xml:space="preserve">Виктория </t>
  </si>
  <si>
    <t xml:space="preserve">Лицей 149</t>
  </si>
  <si>
    <t xml:space="preserve">https://vk.com/id183604164</t>
  </si>
  <si>
    <t xml:space="preserve">victoriya.1802@gmail.com</t>
  </si>
  <si>
    <t xml:space="preserve">Артамонова</t>
  </si>
  <si>
    <t xml:space="preserve">Анна</t>
  </si>
  <si>
    <t xml:space="preserve">https://vk.com/id157850061</t>
  </si>
  <si>
    <t xml:space="preserve">anna.artamonova57@gmail.com</t>
  </si>
  <si>
    <t xml:space="preserve">Локтионова</t>
  </si>
  <si>
    <t xml:space="preserve">Даниэла</t>
  </si>
  <si>
    <t xml:space="preserve">БОУ г.Омска "Лицей 64"</t>
  </si>
  <si>
    <t xml:space="preserve">https://vk.com/id183491405</t>
  </si>
  <si>
    <t xml:space="preserve">daniellasky@gmail.com</t>
  </si>
  <si>
    <t xml:space="preserve">Шишова</t>
  </si>
  <si>
    <t xml:space="preserve">София </t>
  </si>
  <si>
    <t xml:space="preserve">Гимназия 140</t>
  </si>
  <si>
    <t xml:space="preserve">https://vk.com/sshishova2000</t>
  </si>
  <si>
    <t xml:space="preserve">Fro-31@mail.ru</t>
  </si>
  <si>
    <t xml:space="preserve">Широкова</t>
  </si>
  <si>
    <t xml:space="preserve">Ирина</t>
  </si>
  <si>
    <t xml:space="preserve">скорее всего не смогу ходить до самого конца смены</t>
  </si>
  <si>
    <t xml:space="preserve">vk.com/id189704537</t>
  </si>
  <si>
    <t xml:space="preserve">ira.shirokova.01@bk.ru</t>
  </si>
  <si>
    <t xml:space="preserve">Голозов</t>
  </si>
  <si>
    <t xml:space="preserve">Гимназия 19</t>
  </si>
  <si>
    <t xml:space="preserve">vk.com/dimagolozov</t>
  </si>
  <si>
    <t xml:space="preserve">dima.golozov@gmai.com</t>
  </si>
  <si>
    <t xml:space="preserve">Мухомедишин</t>
  </si>
  <si>
    <t xml:space="preserve">БОУ "Гимназия №62"</t>
  </si>
  <si>
    <t xml:space="preserve">vk.com/rustam_in</t>
  </si>
  <si>
    <t xml:space="preserve">rustamomsk57@mail.ru</t>
  </si>
  <si>
    <t xml:space="preserve">Янковская</t>
  </si>
  <si>
    <t xml:space="preserve">Алёна</t>
  </si>
  <si>
    <t xml:space="preserve">Не смогу прийти 6 июля</t>
  </si>
  <si>
    <t xml:space="preserve">vk.com/17aaaaaaaaaaaaaaaaaaaaaaaaaaaaa</t>
  </si>
  <si>
    <t xml:space="preserve">alena.yankovskaya.1@gmail.com</t>
  </si>
  <si>
    <t xml:space="preserve">БОК «СОШ 17»</t>
  </si>
  <si>
    <t xml:space="preserve">Веретенников</t>
  </si>
  <si>
    <t xml:space="preserve">Алексей</t>
  </si>
  <si>
    <t xml:space="preserve">Лицей #64</t>
  </si>
  <si>
    <t xml:space="preserve">https://vk.com/demenkovalexey</t>
  </si>
  <si>
    <t xml:space="preserve">veretennikov.a01@mail.ru</t>
  </si>
  <si>
    <t xml:space="preserve">Курбатова</t>
  </si>
  <si>
    <t xml:space="preserve">БОУ СОШ 109</t>
  </si>
  <si>
    <t xml:space="preserve">vk.com/anna.kurbatova99</t>
  </si>
  <si>
    <t xml:space="preserve">kea-sea@ya.ru</t>
  </si>
  <si>
    <t xml:space="preserve">лицей 149</t>
  </si>
  <si>
    <t xml:space="preserve">https://vk.com/id269312243</t>
  </si>
  <si>
    <t xml:space="preserve">masnaja_marina@mail.ru</t>
  </si>
  <si>
    <t xml:space="preserve">Моисеева</t>
  </si>
  <si>
    <t xml:space="preserve">Вероника</t>
  </si>
  <si>
    <t xml:space="preserve">https://vk.com/id276675815</t>
  </si>
  <si>
    <t xml:space="preserve">veronikamoi03@gmail.com</t>
  </si>
  <si>
    <t xml:space="preserve">Долгова</t>
  </si>
  <si>
    <t xml:space="preserve">БОУ ОО "МОЦРО #117"</t>
  </si>
  <si>
    <t xml:space="preserve">https://vk.com/anna_dolgova2004</t>
  </si>
  <si>
    <t xml:space="preserve">anna.dolgova.2004@mail.ru</t>
  </si>
  <si>
    <t xml:space="preserve">Попова</t>
  </si>
  <si>
    <t xml:space="preserve">Дарья</t>
  </si>
  <si>
    <t xml:space="preserve">БОУ ОО "МОЦРО № 117" </t>
  </si>
  <si>
    <t xml:space="preserve">https://vk.com/id430049679</t>
  </si>
  <si>
    <t xml:space="preserve">dashuta.popova.2018mom@mail.ru</t>
  </si>
  <si>
    <t xml:space="preserve">Шишко</t>
  </si>
  <si>
    <t xml:space="preserve">vk.com/id308485017</t>
  </si>
  <si>
    <t xml:space="preserve">alena_shishko@inbox.ru</t>
  </si>
  <si>
    <t xml:space="preserve">Любавина</t>
  </si>
  <si>
    <t xml:space="preserve">София</t>
  </si>
  <si>
    <t xml:space="preserve">https://vk.com/sofialyubavina</t>
  </si>
  <si>
    <t xml:space="preserve">sophiaomsk@mail.ru</t>
  </si>
  <si>
    <t xml:space="preserve">Малышков</t>
  </si>
  <si>
    <t xml:space="preserve">malyshkov.roman@gmail.com</t>
  </si>
  <si>
    <t xml:space="preserve">Ткач</t>
  </si>
  <si>
    <t xml:space="preserve">Гимназия 43</t>
  </si>
  <si>
    <t xml:space="preserve">Буду первые 2 дня</t>
  </si>
  <si>
    <t xml:space="preserve">vk.com/id186803102</t>
  </si>
  <si>
    <t xml:space="preserve">sonytkach@mail.ru</t>
  </si>
  <si>
    <t xml:space="preserve">Кошевая</t>
  </si>
  <si>
    <t xml:space="preserve">https://vk.com/id249818753</t>
  </si>
  <si>
    <t xml:space="preserve">a_koshevaya.03@mail.ru</t>
  </si>
  <si>
    <t xml:space="preserve">Бахмутский</t>
  </si>
  <si>
    <t xml:space="preserve">andremutskiy@mail.ru</t>
  </si>
  <si>
    <t xml:space="preserve">Сушкова</t>
  </si>
  <si>
    <t xml:space="preserve">https://m.vk.com/id402259781</t>
  </si>
  <si>
    <t xml:space="preserve">suirma@gmail.com</t>
  </si>
  <si>
    <t xml:space="preserve">Уткина</t>
  </si>
  <si>
    <t xml:space="preserve">Лиза</t>
  </si>
  <si>
    <t xml:space="preserve">https://vk.com/utlisa</t>
  </si>
  <si>
    <t xml:space="preserve">utlisa@mail.ru</t>
  </si>
  <si>
    <t xml:space="preserve">Виноградова</t>
  </si>
  <si>
    <t xml:space="preserve">МОЦРО №117</t>
  </si>
  <si>
    <t xml:space="preserve">vk.com/valeria_vinogradova0</t>
  </si>
  <si>
    <t xml:space="preserve">valera.vinogradowa2015@ya.ru</t>
  </si>
  <si>
    <t xml:space="preserve">Башкатова</t>
  </si>
  <si>
    <t xml:space="preserve">СОШ 123</t>
  </si>
  <si>
    <t xml:space="preserve">https://vk.com/id139785776</t>
  </si>
  <si>
    <t xml:space="preserve">bashkatova-2001@mail.ru</t>
  </si>
  <si>
    <t xml:space="preserve">Пирожкова </t>
  </si>
  <si>
    <t xml:space="preserve">Екатерина </t>
  </si>
  <si>
    <t xml:space="preserve">Гимназия 84</t>
  </si>
  <si>
    <t xml:space="preserve">https://vk.com/katyaaaa468</t>
  </si>
  <si>
    <t xml:space="preserve">ekaterina.pirozhkova2@gmail.com</t>
  </si>
  <si>
    <t xml:space="preserve">Валитов</t>
  </si>
  <si>
    <t xml:space="preserve">https://vk.com/andrvat</t>
  </si>
  <si>
    <t xml:space="preserve">sidney.44@mail.ru</t>
  </si>
  <si>
    <t xml:space="preserve">Матчин</t>
  </si>
  <si>
    <t xml:space="preserve">Артемий</t>
  </si>
  <si>
    <t xml:space="preserve">vk.com/udav_gosha</t>
  </si>
  <si>
    <t xml:space="preserve">art16ws@gmail.com</t>
  </si>
  <si>
    <t xml:space="preserve">Захаров</t>
  </si>
  <si>
    <t xml:space="preserve">Всеволод</t>
  </si>
  <si>
    <t xml:space="preserve">Лицей №92</t>
  </si>
  <si>
    <t xml:space="preserve">https://vk.com/id288643683</t>
  </si>
  <si>
    <t xml:space="preserve">seva_zakharov@mail.ru</t>
  </si>
  <si>
    <t xml:space="preserve">Мельник</t>
  </si>
  <si>
    <t xml:space="preserve">Диана</t>
  </si>
  <si>
    <t xml:space="preserve">vk.com/diamelnik</t>
  </si>
  <si>
    <t xml:space="preserve">dia.84@mail.ru</t>
  </si>
  <si>
    <t xml:space="preserve">Малиновский</t>
  </si>
  <si>
    <t xml:space="preserve">https://vk.com/id112552816</t>
  </si>
  <si>
    <t xml:space="preserve">ilya.21062001@gmail.com</t>
  </si>
  <si>
    <t xml:space="preserve">Братухина</t>
  </si>
  <si>
    <t xml:space="preserve">Альбина</t>
  </si>
  <si>
    <t xml:space="preserve">БОУ "Гимназия №139"</t>
  </si>
  <si>
    <t xml:space="preserve">al-brat@mail.ru</t>
  </si>
  <si>
    <t xml:space="preserve">Константинова </t>
  </si>
  <si>
    <t xml:space="preserve">Гимназия 139</t>
  </si>
  <si>
    <t xml:space="preserve">https://m.vk.com/alinasavchenko0</t>
  </si>
  <si>
    <t xml:space="preserve">ekatty02@mail.ru</t>
  </si>
  <si>
    <t xml:space="preserve">Савиных </t>
  </si>
  <si>
    <t xml:space="preserve">Кристина </t>
  </si>
  <si>
    <t xml:space="preserve">БОУ г.Омска "Гимназия № 139"</t>
  </si>
  <si>
    <t xml:space="preserve">https://vk.com/id252385302</t>
  </si>
  <si>
    <t xml:space="preserve">cuteunicorn2413@gmail.com</t>
  </si>
  <si>
    <t xml:space="preserve">Терехова </t>
  </si>
  <si>
    <t xml:space="preserve">Гимназия №139</t>
  </si>
  <si>
    <t xml:space="preserve">https://vk.com/id318731608</t>
  </si>
  <si>
    <t xml:space="preserve">sonofthenight7@mail.ru</t>
  </si>
  <si>
    <t xml:space="preserve">Завьялов</t>
  </si>
  <si>
    <t xml:space="preserve">Гордей</t>
  </si>
  <si>
    <t xml:space="preserve">Лицей№64</t>
  </si>
  <si>
    <t xml:space="preserve">vk.com/id271711683</t>
  </si>
  <si>
    <t xml:space="preserve">gordey0511@yandex.ru</t>
  </si>
  <si>
    <t xml:space="preserve">Макарова</t>
  </si>
  <si>
    <t xml:space="preserve">vk.com/elimaksi</t>
  </si>
  <si>
    <t xml:space="preserve">elimaksi@bk.ru</t>
  </si>
  <si>
    <t xml:space="preserve">Папакина</t>
  </si>
  <si>
    <t xml:space="preserve">Сначала</t>
  </si>
  <si>
    <t xml:space="preserve">https://vk.com/s.papakina</t>
  </si>
  <si>
    <t xml:space="preserve">papakina71@mail.ru</t>
  </si>
  <si>
    <t xml:space="preserve">Кочурова</t>
  </si>
  <si>
    <t xml:space="preserve">БОУ г. Омска "Лицей 137"</t>
  </si>
  <si>
    <t xml:space="preserve">Трофимова</t>
  </si>
  <si>
    <t xml:space="preserve">https://vk.com/id171242575</t>
  </si>
  <si>
    <t xml:space="preserve">alisa28012001@gmail.com</t>
  </si>
  <si>
    <t xml:space="preserve">Ляшев</t>
  </si>
  <si>
    <t xml:space="preserve">Артём</t>
  </si>
  <si>
    <t xml:space="preserve">Я бы предпочел поучаствовать на втором курсе биологии.</t>
  </si>
  <si>
    <t xml:space="preserve">https://vk.com/id85584620</t>
  </si>
  <si>
    <t xml:space="preserve">artem.ru.art@mail.ru</t>
  </si>
  <si>
    <t xml:space="preserve">Красных</t>
  </si>
  <si>
    <t xml:space="preserve">МОЦРО №117 </t>
  </si>
  <si>
    <t xml:space="preserve">https://vk.com/idvadichka</t>
  </si>
  <si>
    <t xml:space="preserve">vadikras@list.ru</t>
  </si>
  <si>
    <t xml:space="preserve">Тищенко</t>
  </si>
  <si>
    <t xml:space="preserve">Даша</t>
  </si>
  <si>
    <t xml:space="preserve">vk.com/neko_murr</t>
  </si>
  <si>
    <t xml:space="preserve">dashyni.tish@gmail.com</t>
  </si>
  <si>
    <t xml:space="preserve">Торопов</t>
  </si>
  <si>
    <t xml:space="preserve">Павел</t>
  </si>
  <si>
    <t xml:space="preserve">https://vk.com/avstralo_pitek</t>
  </si>
  <si>
    <t xml:space="preserve">ptoropov02@mail.ru</t>
  </si>
  <si>
    <t xml:space="preserve">Глинская</t>
  </si>
  <si>
    <t xml:space="preserve">Таисия</t>
  </si>
  <si>
    <t xml:space="preserve">https://vk.com/id200827263</t>
  </si>
  <si>
    <t xml:space="preserve">tasia-rabbit@yandex.ru</t>
  </si>
  <si>
    <t xml:space="preserve">Лапаницына</t>
  </si>
  <si>
    <t xml:space="preserve">БОУ «Лицей № 137»</t>
  </si>
  <si>
    <t xml:space="preserve">Вероятнее всего, не смогу оставаться на внеучебные мероприятия в некоторые дни, т.к. хожу на плавание.</t>
  </si>
  <si>
    <t xml:space="preserve">vk.com/byheart_chaika</t>
  </si>
  <si>
    <t xml:space="preserve">anna.lapachka@gmail.com</t>
  </si>
  <si>
    <t xml:space="preserve"> vk.com/aderkach2017</t>
  </si>
  <si>
    <t xml:space="preserve">xenia_derkach@mail.ru</t>
  </si>
  <si>
    <t xml:space="preserve">spapakina@bk.ru</t>
  </si>
  <si>
    <t xml:space="preserve">Протазанова</t>
  </si>
  <si>
    <t xml:space="preserve">Ольга</t>
  </si>
  <si>
    <t xml:space="preserve">https://vk.com/olya.protazanova</t>
  </si>
  <si>
    <t xml:space="preserve">olya.protazanova@mail.ru</t>
  </si>
  <si>
    <t xml:space="preserve">Матвиец</t>
  </si>
  <si>
    <t xml:space="preserve">Кирилл</t>
  </si>
  <si>
    <t xml:space="preserve">https://vk.com/scumlife69</t>
  </si>
  <si>
    <t xml:space="preserve">pororo332@mail.ru</t>
  </si>
  <si>
    <t xml:space="preserve">Аркушенко</t>
  </si>
  <si>
    <t xml:space="preserve">Максим</t>
  </si>
  <si>
    <t xml:space="preserve">https://vk.com/m.arkushenko</t>
  </si>
  <si>
    <t xml:space="preserve">arkushenko2004@mail.ru</t>
  </si>
  <si>
    <t xml:space="preserve">Курочкин</t>
  </si>
  <si>
    <t xml:space="preserve">Тихон</t>
  </si>
  <si>
    <t xml:space="preserve">Гимназия 150</t>
  </si>
  <si>
    <t xml:space="preserve">https://vk.com/tixon2002</t>
  </si>
  <si>
    <t xml:space="preserve">apro1914@mail.ru</t>
  </si>
  <si>
    <t xml:space="preserve">Мурашова</t>
  </si>
  <si>
    <t xml:space="preserve">Весь учебный день </t>
  </si>
  <si>
    <t xml:space="preserve">https://m.vk.com/dimetria03</t>
  </si>
  <si>
    <t xml:space="preserve">diagonal03@mail.ru</t>
  </si>
  <si>
    <t xml:space="preserve"> Могу быть весь учебный день </t>
  </si>
  <si>
    <t xml:space="preserve">Терновая</t>
  </si>
  <si>
    <t xml:space="preserve">Надежда</t>
  </si>
  <si>
    <t xml:space="preserve">уезжаю 15.07 из города</t>
  </si>
  <si>
    <t xml:space="preserve">https://vk.com/nternovaya0</t>
  </si>
  <si>
    <t xml:space="preserve">ternovaya10112002@mail.ru</t>
  </si>
  <si>
    <t xml:space="preserve">Михеев</t>
  </si>
  <si>
    <t xml:space="preserve">vk.com/mikheevii</t>
  </si>
  <si>
    <t xml:space="preserve">Mihilya@list.ru</t>
  </si>
  <si>
    <t xml:space="preserve">Геталова</t>
  </si>
  <si>
    <t xml:space="preserve">СОШ № 36</t>
  </si>
  <si>
    <t xml:space="preserve">vk.com/ira_getalova</t>
  </si>
  <si>
    <t xml:space="preserve">getalovais@mail.ru</t>
  </si>
  <si>
    <t xml:space="preserve">Манько </t>
  </si>
  <si>
    <t xml:space="preserve">МБОУ "Лузинская СОШ 1"</t>
  </si>
  <si>
    <t xml:space="preserve">https://vk.com/beslizast</t>
  </si>
  <si>
    <t xml:space="preserve">manko_76@mail.ru</t>
  </si>
  <si>
    <t xml:space="preserve">Калабина</t>
  </si>
  <si>
    <t xml:space="preserve">http://vk.com/id415155344</t>
  </si>
  <si>
    <t xml:space="preserve">anyakalabiba175@gmail.com</t>
  </si>
  <si>
    <t xml:space="preserve">Мозылева</t>
  </si>
  <si>
    <t xml:space="preserve">Мария </t>
  </si>
  <si>
    <t xml:space="preserve">Гимназия 9</t>
  </si>
  <si>
    <t xml:space="preserve">https://vk.com/mozyleva_marie</t>
  </si>
  <si>
    <t xml:space="preserve">moz.maris@gmail.com</t>
  </si>
  <si>
    <t xml:space="preserve">Усова</t>
  </si>
  <si>
    <t xml:space="preserve">МОЦРО № 117</t>
  </si>
  <si>
    <t xml:space="preserve">vk.com/id440293644</t>
  </si>
  <si>
    <t xml:space="preserve">veronika.usova51@mail.ru</t>
  </si>
  <si>
    <t xml:space="preserve">Асаинов</t>
  </si>
  <si>
    <t xml:space="preserve">Дарий</t>
  </si>
  <si>
    <t xml:space="preserve">https://vk.com/der_beste_god</t>
  </si>
  <si>
    <t xml:space="preserve">darainov@gmail.com</t>
  </si>
  <si>
    <t xml:space="preserve">Зарипов</t>
  </si>
  <si>
    <t xml:space="preserve">vk.com/vadimka_zaripov</t>
  </si>
  <si>
    <t xml:space="preserve">mr.vadimzaripov@mail.ru</t>
  </si>
  <si>
    <t xml:space="preserve">Барнёва </t>
  </si>
  <si>
    <t xml:space="preserve">Софья </t>
  </si>
  <si>
    <t xml:space="preserve">https://m.vk.com/id172357435</t>
  </si>
  <si>
    <t xml:space="preserve">sbarnyova@icloud.com</t>
  </si>
  <si>
    <t xml:space="preserve">Сергеев</t>
  </si>
  <si>
    <t xml:space="preserve">https://vk.com/homesituation</t>
  </si>
  <si>
    <t xml:space="preserve">al.sergeev-03@mail.ru</t>
  </si>
  <si>
    <t xml:space="preserve">Рожко</t>
  </si>
  <si>
    <t xml:space="preserve">Екатерина</t>
  </si>
  <si>
    <t xml:space="preserve"> МОЦРО №117</t>
  </si>
  <si>
    <t xml:space="preserve">vk.com/id234591697</t>
  </si>
  <si>
    <t xml:space="preserve">alina89618494419@mail.ru</t>
  </si>
  <si>
    <t xml:space="preserve">https://vk.com/id207531264</t>
  </si>
  <si>
    <t xml:space="preserve">andrysha.kruchkov@mail.ru</t>
  </si>
  <si>
    <t xml:space="preserve">Поркулевич</t>
  </si>
  <si>
    <t xml:space="preserve">vk.com/id153731120</t>
  </si>
  <si>
    <t xml:space="preserve">vaska.pupkin.1989@list.ru</t>
  </si>
  <si>
    <t xml:space="preserve">Крючков </t>
  </si>
  <si>
    <t xml:space="preserve">#123</t>
  </si>
  <si>
    <t xml:space="preserve">Абдикеев</t>
  </si>
  <si>
    <t xml:space="preserve">Марат</t>
  </si>
  <si>
    <t xml:space="preserve">vk.com/id415230992</t>
  </si>
  <si>
    <t xml:space="preserve">ifitsme@yandex.ru</t>
  </si>
  <si>
    <t xml:space="preserve">Кривцова</t>
  </si>
  <si>
    <t xml:space="preserve">vk.com/ann_1907</t>
  </si>
  <si>
    <t xml:space="preserve">kotya_1907@mail.ru</t>
  </si>
  <si>
    <t xml:space="preserve">Зайцева </t>
  </si>
  <si>
    <t xml:space="preserve">БОУ «Лицей 166»</t>
  </si>
  <si>
    <t xml:space="preserve">https://m.vk.com/id193643114?act=info</t>
  </si>
  <si>
    <t xml:space="preserve">Vikaz2000@yandex.ru</t>
  </si>
  <si>
    <t xml:space="preserve">Желнин</t>
  </si>
  <si>
    <t xml:space="preserve">БОУ "Лицей №64"</t>
  </si>
  <si>
    <t xml:space="preserve">https://vk.com/doc_ya</t>
  </si>
  <si>
    <t xml:space="preserve">maksim_zhelnin@mail.ru</t>
  </si>
  <si>
    <t xml:space="preserve">Татаурова</t>
  </si>
  <si>
    <t xml:space="preserve">БОУ Гимназия 19 г. Омск</t>
  </si>
  <si>
    <t xml:space="preserve">https://m.vk.com/sila_11797r649_sila</t>
  </si>
  <si>
    <t xml:space="preserve">sofiya_tataurova@mail.ru</t>
  </si>
  <si>
    <t xml:space="preserve">Малыхина</t>
  </si>
  <si>
    <t xml:space="preserve">смогу начать обучение с 10 июля</t>
  </si>
  <si>
    <t xml:space="preserve">https://vk.com/id224821133</t>
  </si>
  <si>
    <t xml:space="preserve">nastyam080306@mail.ru</t>
  </si>
  <si>
    <t xml:space="preserve">Булатова</t>
  </si>
  <si>
    <t xml:space="preserve">Виталия</t>
  </si>
  <si>
    <t xml:space="preserve">https://m.vk.com/lolpo2006</t>
  </si>
  <si>
    <t xml:space="preserve">bulatova_vita@mail.ru</t>
  </si>
  <si>
    <t xml:space="preserve">Тарасенко</t>
  </si>
  <si>
    <t xml:space="preserve">БОУ г.Омска лицей №64</t>
  </si>
  <si>
    <t xml:space="preserve">https://m.vk.com/id307165294</t>
  </si>
  <si>
    <t xml:space="preserve">leonid.tara@gmail.com</t>
  </si>
  <si>
    <t xml:space="preserve">Шарифуллин </t>
  </si>
  <si>
    <t xml:space="preserve">Руслан</t>
  </si>
  <si>
    <t xml:space="preserve">https://vk.com/id223911840</t>
  </si>
  <si>
    <t xml:space="preserve">ruslan31102001@mail.ru</t>
  </si>
  <si>
    <t xml:space="preserve">Кудрявцева</t>
  </si>
  <si>
    <t xml:space="preserve">https://vk.com/id136912725</t>
  </si>
  <si>
    <t xml:space="preserve">ms.straycer@mail.ru</t>
  </si>
  <si>
    <t xml:space="preserve">Артём </t>
  </si>
  <si>
    <t xml:space="preserve">Я бы хотел принять участие во втором курсе биологии </t>
  </si>
  <si>
    <t xml:space="preserve">https://m.vk.com/id85584620</t>
  </si>
  <si>
    <t xml:space="preserve">Я бы хотел принять участие во втором курсе по биологии. </t>
  </si>
  <si>
    <t xml:space="preserve">Гуртовенко</t>
  </si>
  <si>
    <t xml:space="preserve">Юля</t>
  </si>
  <si>
    <t xml:space="preserve">vk.com/dominedeusmf</t>
  </si>
  <si>
    <t xml:space="preserve">surprise.trap@gmail.com</t>
  </si>
  <si>
    <t xml:space="preserve">Гапоненко</t>
  </si>
  <si>
    <t xml:space="preserve">Регина</t>
  </si>
  <si>
    <t xml:space="preserve">БОУ г. Омска "СОШ № 56 с УИОП</t>
  </si>
  <si>
    <t xml:space="preserve">vk.com/id152857098</t>
  </si>
  <si>
    <t xml:space="preserve">gregina2000@mail.ru</t>
  </si>
  <si>
    <t xml:space="preserve">Я могу находиться весь учебный день </t>
  </si>
  <si>
    <t xml:space="preserve">https://m.vk.com/wall-95923242_390</t>
  </si>
  <si>
    <t xml:space="preserve">Крюкова</t>
  </si>
  <si>
    <t xml:space="preserve">Феодосия</t>
  </si>
  <si>
    <t xml:space="preserve">https://vk.com/kiparis_zelenenkiy</t>
  </si>
  <si>
    <t xml:space="preserve">611176@mail.ru</t>
  </si>
  <si>
    <t xml:space="preserve">Полищук</t>
  </si>
  <si>
    <t xml:space="preserve">БОУ "Гимназия 19"</t>
  </si>
  <si>
    <t xml:space="preserve">Я не могу участвовать с начала школы, так как буду не в Омске, смогу участвовать с 8 июля. Сестра Александра Полищука :)</t>
  </si>
  <si>
    <t xml:space="preserve">vk.com/id245076479</t>
  </si>
  <si>
    <t xml:space="preserve">anna_polischuk23@mail.ru</t>
  </si>
  <si>
    <t xml:space="preserve">Сутырина </t>
  </si>
  <si>
    <t xml:space="preserve">Боу ОО "МОЦРО № 117" </t>
  </si>
  <si>
    <t xml:space="preserve">А есть возможность посещать только линейку и два пары по выбранным предметам или нет? И если возникнут непредвиденные обстоятельства вследствие чего возможен пропуск это простительно? </t>
  </si>
  <si>
    <t xml:space="preserve">https://vk.com/id356172162</t>
  </si>
  <si>
    <t xml:space="preserve">kozmina_olga_omsk@mail.ru</t>
  </si>
  <si>
    <t xml:space="preserve">Ушаков</t>
  </si>
  <si>
    <t xml:space="preserve">Константин</t>
  </si>
  <si>
    <t xml:space="preserve">vk.com/werrewqr</t>
  </si>
  <si>
    <t xml:space="preserve">ushk2010@yandex.ru</t>
  </si>
  <si>
    <t xml:space="preserve">Смирнов</t>
  </si>
  <si>
    <t xml:space="preserve">Милаил</t>
  </si>
  <si>
    <t xml:space="preserve">https://vk.com/id383760243</t>
  </si>
  <si>
    <t xml:space="preserve">Отметка времени</t>
  </si>
  <si>
    <t xml:space="preserve">Ваша страница в ВК</t>
  </si>
  <si>
    <t xml:space="preserve">Старичок</t>
  </si>
  <si>
    <t xml:space="preserve">Номер ряда в исходной таблице</t>
  </si>
  <si>
    <t xml:space="preserve">Точность бытия</t>
  </si>
  <si>
    <t xml:space="preserve">Комментарий</t>
  </si>
  <si>
    <t xml:space="preserve">Реальный курс первой половины</t>
  </si>
  <si>
    <t xml:space="preserve">Реальный курс второй половниы</t>
  </si>
  <si>
    <t xml:space="preserve">только вторая половина</t>
  </si>
  <si>
    <t xml:space="preserve">до 15 июля</t>
  </si>
  <si>
    <t xml:space="preserve">написал второй раз</t>
  </si>
  <si>
    <t xml:space="preserve">до 12 июля</t>
  </si>
  <si>
    <t xml:space="preserve">скорее всего</t>
  </si>
  <si>
    <t xml:space="preserve">кроме 6 июля</t>
  </si>
  <si>
    <t xml:space="preserve">Очень небольшая вероятность, что сможет</t>
  </si>
  <si>
    <t xml:space="preserve">Заходила в вк 21 мая</t>
  </si>
  <si>
    <t xml:space="preserve">только 5-6 числа</t>
  </si>
  <si>
    <t xml:space="preserve">с 7-ого</t>
  </si>
  <si>
    <t xml:space="preserve">только вторую половину </t>
  </si>
  <si>
    <t xml:space="preserve">Таушкина</t>
  </si>
  <si>
    <t xml:space="preserve">Люба</t>
  </si>
  <si>
    <t xml:space="preserve">https://vk.com/mylucky_strike</t>
  </si>
  <si>
    <t xml:space="preserve">Может пропустить пару дней</t>
  </si>
  <si>
    <t xml:space="preserve">https://vk.com/id409884286</t>
  </si>
  <si>
    <t xml:space="preserve">Полякова</t>
  </si>
  <si>
    <t xml:space="preserve">https://vk.com/d.polyakova1</t>
  </si>
  <si>
    <t xml:space="preserve">Кайданович</t>
  </si>
  <si>
    <t xml:space="preserve">Шестаков </t>
  </si>
  <si>
    <t xml:space="preserve">Патронова</t>
  </si>
  <si>
    <t xml:space="preserve">https://vk.com/id306756810</t>
  </si>
  <si>
    <t xml:space="preserve">Кузин</t>
  </si>
  <si>
    <t xml:space="preserve">https://vk.com/shdoo</t>
  </si>
  <si>
    <t xml:space="preserve">https://vk.com/ilya_kuzin</t>
  </si>
  <si>
    <t xml:space="preserve">Козловская</t>
  </si>
  <si>
    <t xml:space="preserve">https://vk.com/mariasmb</t>
  </si>
  <si>
    <t xml:space="preserve">Белозеров</t>
  </si>
  <si>
    <t xml:space="preserve">Семен</t>
  </si>
  <si>
    <t xml:space="preserve">Ефимова</t>
  </si>
  <si>
    <t xml:space="preserve">Измайлов</t>
  </si>
  <si>
    <t xml:space="preserve">Матвей</t>
  </si>
  <si>
    <t xml:space="preserve">Химия</t>
  </si>
  <si>
    <t xml:space="preserve">Кохлов</t>
  </si>
  <si>
    <t xml:space="preserve">Александр</t>
  </si>
  <si>
    <t xml:space="preserve">vk.com/sasashasas</t>
  </si>
  <si>
    <t xml:space="preserve">Оленева</t>
  </si>
  <si>
    <t xml:space="preserve">Последние 3 дня</t>
  </si>
  <si>
    <t xml:space="preserve">https://vk.com/fuyock</t>
  </si>
  <si>
    <t xml:space="preserve">Рождественская </t>
  </si>
  <si>
    <t xml:space="preserve">https://vk.com/m.christmas27</t>
  </si>
  <si>
    <t xml:space="preserve">Дмитриенко</t>
  </si>
  <si>
    <t xml:space="preserve">https://vk.com/alexandrinioo</t>
  </si>
  <si>
    <t xml:space="preserve">Никифоров </t>
  </si>
  <si>
    <t xml:space="preserve">Лука</t>
  </si>
  <si>
    <t xml:space="preserve">https://vk.com/luka5s5</t>
  </si>
  <si>
    <t xml:space="preserve">Белим</t>
  </si>
  <si>
    <t xml:space="preserve">https://vk.com/belimcatherine</t>
  </si>
  <si>
    <t xml:space="preserve">Корнев </t>
  </si>
  <si>
    <t xml:space="preserve">https://vk.com/keaker</t>
  </si>
  <si>
    <t xml:space="preserve">Школа</t>
  </si>
  <si>
    <t xml:space="preserve">Первая половина</t>
  </si>
  <si>
    <t xml:space="preserve">Вторая половина</t>
  </si>
  <si>
    <t xml:space="preserve">Курс первой половины (5-11 июля)</t>
  </si>
  <si>
    <t xml:space="preserve">Курс второй половины (12-18 июля)</t>
  </si>
  <si>
    <t xml:space="preserve">Текущее кол-во</t>
  </si>
  <si>
    <t xml:space="preserve">Максимум</t>
  </si>
  <si>
    <t xml:space="preserve">В рамках (пределы увеличены на 30%)</t>
  </si>
  <si>
    <t xml:space="preserve">Односторонние дети:</t>
  </si>
  <si>
    <t xml:space="preserve">Общее число регистраций:</t>
  </si>
  <si>
    <t xml:space="preserve">Свежесть статискики:</t>
  </si>
  <si>
    <t xml:space="preserve">Двойные регистрации:</t>
  </si>
  <si>
    <t xml:space="preserve">Дата</t>
  </si>
  <si>
    <t xml:space="preserve">В день</t>
  </si>
  <si>
    <t xml:space="preserve">Кумулятивно</t>
  </si>
  <si>
    <t xml:space="preserve">остальные</t>
  </si>
  <si>
    <t xml:space="preserve">Старички</t>
  </si>
  <si>
    <t xml:space="preserve">Новички</t>
  </si>
  <si>
    <t xml:space="preserve">не будет</t>
  </si>
  <si>
    <t xml:space="preserve">не спрашивали</t>
  </si>
  <si>
    <t xml:space="preserve">спросили</t>
  </si>
  <si>
    <t xml:space="preserve">будет</t>
  </si>
  <si>
    <t xml:space="preserve">Кумулятивное число регистраций, подчиняющееся определённым условиям:</t>
  </si>
  <si>
    <t xml:space="preserve">класс</t>
  </si>
  <si>
    <t xml:space="preserve">школа</t>
  </si>
  <si>
    <t xml:space="preserve">Обновление точности</t>
  </si>
  <si>
    <t xml:space="preserve">Обновление комментария</t>
  </si>
  <si>
    <t xml:space="preserve">Updated</t>
  </si>
  <si>
    <t xml:space="preserve">точность</t>
  </si>
  <si>
    <t xml:space="preserve">Выберите курс первой половины</t>
  </si>
  <si>
    <t xml:space="preserve">От</t>
  </si>
  <si>
    <t xml:space="preserve">К</t>
  </si>
  <si>
    <t xml:space="preserve">Терещенко</t>
  </si>
  <si>
    <t xml:space="preserve">Владислав</t>
  </si>
  <si>
    <t xml:space="preserve">Дургарян</t>
  </si>
  <si>
    <t xml:space="preserve">Границы применения физических моделей</t>
  </si>
  <si>
    <t xml:space="preserve">Теория Вероятности</t>
  </si>
  <si>
    <t xml:space="preserve">+</t>
  </si>
  <si>
    <t xml:space="preserve">Выберите курс второй половины</t>
  </si>
  <si>
    <t xml:space="preserve">Подписка на рассылку</t>
  </si>
  <si>
    <t xml:space="preserve">                       Вторая половина ⇨
Первая половина       
     ⇩                    </t>
  </si>
  <si>
    <t xml:space="preserve">Ваш ID в ВК</t>
  </si>
  <si>
    <t xml:space="preserve">Выберите первый курс (введите число от 1 до 10)</t>
  </si>
  <si>
    <t xml:space="preserve">Выберите второй курс (введите число от 1 до 10)</t>
  </si>
  <si>
    <t xml:space="preserve">В новом сезоне</t>
  </si>
  <si>
    <t xml:space="preserve">vk.com/agent024</t>
  </si>
  <si>
    <t xml:space="preserve">Optimys.prajm@mail.ru</t>
  </si>
  <si>
    <t xml:space="preserve">Программирование(Свет)</t>
  </si>
  <si>
    <t xml:space="preserve">Математика(Кудык)</t>
  </si>
  <si>
    <t xml:space="preserve">Нуркушева</t>
  </si>
  <si>
    <t xml:space="preserve">Данара</t>
  </si>
  <si>
    <t xml:space="preserve">БОУ ОО "МОЦРО#117"</t>
  </si>
  <si>
    <t xml:space="preserve">vk.com/id55040621</t>
  </si>
  <si>
    <t xml:space="preserve">Danaranurkusheva@yandex.ru</t>
  </si>
  <si>
    <t xml:space="preserve">Право</t>
  </si>
  <si>
    <t xml:space="preserve">Испанский</t>
  </si>
  <si>
    <t xml:space="preserve">Гимназия № 117</t>
  </si>
  <si>
    <t xml:space="preserve">vk.com/alisatemereva</t>
  </si>
  <si>
    <t xml:space="preserve">Temerevaalisa@mail.ru</t>
  </si>
  <si>
    <t xml:space="preserve">Биоинформатика</t>
  </si>
  <si>
    <t xml:space="preserve">Математика(Строженко)</t>
  </si>
  <si>
    <t xml:space="preserve">-</t>
  </si>
  <si>
    <t xml:space="preserve">БОУ ОО"МОЦРО 117"</t>
  </si>
  <si>
    <t xml:space="preserve">Bogdanovaasya_2907@mail.ru</t>
  </si>
  <si>
    <t xml:space="preserve">vk.com/jess41359473</t>
  </si>
  <si>
    <t xml:space="preserve">Экономика</t>
  </si>
  <si>
    <t xml:space="preserve">Анисимков</t>
  </si>
  <si>
    <t xml:space="preserve">Степан</t>
  </si>
  <si>
    <t xml:space="preserve">vk.com/id293021806</t>
  </si>
  <si>
    <t xml:space="preserve">stepa100023@gmail.com</t>
  </si>
  <si>
    <t xml:space="preserve">Физика(Шумаков)</t>
  </si>
  <si>
    <t xml:space="preserve">vk.com/id326623716</t>
  </si>
  <si>
    <t xml:space="preserve">vk.com/id402259781</t>
  </si>
  <si>
    <t xml:space="preserve">suirma@mail.ru</t>
  </si>
  <si>
    <t xml:space="preserve">vk.com/tillid</t>
  </si>
  <si>
    <t xml:space="preserve">Затолоцкая</t>
  </si>
  <si>
    <t xml:space="preserve">СУНЦ НГУ</t>
  </si>
  <si>
    <t xml:space="preserve">vk.com/juliya___z</t>
  </si>
  <si>
    <t xml:space="preserve">Zatolockaya11@mail.ru</t>
  </si>
  <si>
    <t xml:space="preserve">Программирование(Шульга)</t>
  </si>
  <si>
    <t xml:space="preserve">Цалко</t>
  </si>
  <si>
    <t xml:space="preserve">vk.com/id166902078</t>
  </si>
  <si>
    <t xml:space="preserve">lena.tsalko.71@mail.ru</t>
  </si>
  <si>
    <t xml:space="preserve">Могу не появляться на занятиях, но постараюсь без этого.</t>
  </si>
  <si>
    <t xml:space="preserve">Гриценко</t>
  </si>
  <si>
    <t xml:space="preserve">vk.com/idiamolya</t>
  </si>
  <si>
    <t xml:space="preserve">olya_00@bk.ru</t>
  </si>
  <si>
    <t xml:space="preserve">Вишневский</t>
  </si>
  <si>
    <t xml:space="preserve">БОУ г.Омска "Лицей №25"</t>
  </si>
  <si>
    <t xml:space="preserve">нет</t>
  </si>
  <si>
    <t xml:space="preserve">tvishnevska@mail.ru</t>
  </si>
  <si>
    <t xml:space="preserve">Физика(Рутберг)</t>
  </si>
  <si>
    <t xml:space="preserve">Чебакова</t>
  </si>
  <si>
    <t xml:space="preserve">Майя</t>
  </si>
  <si>
    <t xml:space="preserve">vk.com/id305699141</t>
  </si>
  <si>
    <t xml:space="preserve">Sir.stannow@yandex.ru</t>
  </si>
  <si>
    <t xml:space="preserve">Верзун</t>
  </si>
  <si>
    <t xml:space="preserve">Юрий</t>
  </si>
  <si>
    <t xml:space="preserve">vk.com/id400485657</t>
  </si>
  <si>
    <t xml:space="preserve">yurver@inbox.ru</t>
  </si>
  <si>
    <t xml:space="preserve">vk.com/id157850061</t>
  </si>
  <si>
    <t xml:space="preserve">nastyafilipenko57@gmail.com</t>
  </si>
  <si>
    <t xml:space="preserve">Подворная</t>
  </si>
  <si>
    <t xml:space="preserve">vk.com/liza06082000</t>
  </si>
  <si>
    <t xml:space="preserve">06082000@mail.ru</t>
  </si>
  <si>
    <t xml:space="preserve">Ложников</t>
  </si>
  <si>
    <t xml:space="preserve">смогу участвовать до 14 июля включительно</t>
  </si>
  <si>
    <t xml:space="preserve">vk.com/lozhnikov_victor</t>
  </si>
  <si>
    <t xml:space="preserve">v.lozhnikov2000@gmail.com</t>
  </si>
  <si>
    <t xml:space="preserve">Киреев</t>
  </si>
  <si>
    <t xml:space="preserve">Лицей 25</t>
  </si>
  <si>
    <t xml:space="preserve">vova.kireev.2001@gmail.com</t>
  </si>
  <si>
    <t xml:space="preserve">vorkokosov@yandex.ru</t>
  </si>
  <si>
    <t xml:space="preserve">Цындуков</t>
  </si>
  <si>
    <t xml:space="preserve">vk.com/tsyndukov</t>
  </si>
  <si>
    <t xml:space="preserve">tsinda2000@gmail.com</t>
  </si>
  <si>
    <t xml:space="preserve">БОУ г. Омска "Гимназия 9"</t>
  </si>
  <si>
    <t xml:space="preserve">vk.com/id99314292</t>
  </si>
  <si>
    <t xml:space="preserve">Храмов</t>
  </si>
  <si>
    <t xml:space="preserve">БОУ СОШ √83</t>
  </si>
  <si>
    <t xml:space="preserve">Я ,скорее всего, не смогу каждый день ходить в вашу школу,т.к. у меня имеются доп.занятия.</t>
  </si>
  <si>
    <t xml:space="preserve">vk.com/damaskyoutube</t>
  </si>
  <si>
    <t xml:space="preserve">khramov.02list.ru16@gmail.com</t>
  </si>
  <si>
    <t xml:space="preserve">vk.com/id198934365</t>
  </si>
  <si>
    <t xml:space="preserve">Сташевская</t>
  </si>
  <si>
    <t xml:space="preserve">Анита</t>
  </si>
  <si>
    <t xml:space="preserve">Гимназия №84</t>
  </si>
  <si>
    <t xml:space="preserve">vk.com/anitastashevskaya</t>
  </si>
  <si>
    <t xml:space="preserve">anita.stashevskaya@mail.ru</t>
  </si>
  <si>
    <t xml:space="preserve">Турышев</t>
  </si>
  <si>
    <t xml:space="preserve">vk.com/id281300280</t>
  </si>
  <si>
    <t xml:space="preserve">turyshev.konstantin@gmail.com</t>
  </si>
  <si>
    <t xml:space="preserve">Кучин</t>
  </si>
  <si>
    <t xml:space="preserve">Готов трудиться день и ночь</t>
  </si>
  <si>
    <t xml:space="preserve">не умеет пользоваться</t>
  </si>
  <si>
    <t xml:space="preserve">kuchin_ov@mail.ru</t>
  </si>
  <si>
    <t xml:space="preserve">Ткачёва</t>
  </si>
  <si>
    <t xml:space="preserve">лицей 143</t>
  </si>
  <si>
    <t xml:space="preserve">vk.com/zhenek1979</t>
  </si>
  <si>
    <t xml:space="preserve">TkachevaE143@gmail.com</t>
  </si>
  <si>
    <t xml:space="preserve">Фадеева</t>
  </si>
  <si>
    <t xml:space="preserve">Алена</t>
  </si>
  <si>
    <t xml:space="preserve">Возможно уеду на время проведения,но возможно и нет!</t>
  </si>
  <si>
    <t xml:space="preserve">vk.com/alenushkaa_a</t>
  </si>
  <si>
    <t xml:space="preserve">Angela199910@mail.ru</t>
  </si>
  <si>
    <t xml:space="preserve">Балакина</t>
  </si>
  <si>
    <t xml:space="preserve">академический лицей</t>
  </si>
  <si>
    <t xml:space="preserve">vk.com/yulyabalakina</t>
  </si>
  <si>
    <t xml:space="preserve">Batw@mail.ru</t>
  </si>
  <si>
    <t xml:space="preserve">ferstly@yandex.ru</t>
  </si>
  <si>
    <t xml:space="preserve">Шевцов</t>
  </si>
  <si>
    <t xml:space="preserve">Возможно, могут быть обстоятельства,  по которым вынужден буду отказаться, но постараюсь предупредить заранее</t>
  </si>
  <si>
    <t xml:space="preserve">vk.com/shefat</t>
  </si>
  <si>
    <t xml:space="preserve">InEveryGoodShefat@gmail.com</t>
  </si>
  <si>
    <t xml:space="preserve">Кудашкина</t>
  </si>
  <si>
    <t xml:space="preserve">vk.com/id183332969</t>
  </si>
  <si>
    <t xml:space="preserve">moose123@bk.ru</t>
  </si>
  <si>
    <t xml:space="preserve">Кельцев</t>
  </si>
  <si>
    <t xml:space="preserve">vk.com/pkeltsev</t>
  </si>
  <si>
    <t xml:space="preserve">pkeltsev@yandex.ru</t>
  </si>
  <si>
    <t xml:space="preserve">vk.com/id209670944</t>
  </si>
  <si>
    <t xml:space="preserve">takov_08@mail.ru</t>
  </si>
  <si>
    <t xml:space="preserve">vk.com/id288643683</t>
  </si>
  <si>
    <t xml:space="preserve">БОУ "лицей № 64"</t>
  </si>
  <si>
    <t xml:space="preserve">по возможности записать в группу с Киямовой Наилей</t>
  </si>
  <si>
    <t xml:space="preserve">vk.com/umnayshe4ka</t>
  </si>
  <si>
    <t xml:space="preserve">Вачев</t>
  </si>
  <si>
    <t xml:space="preserve">Иван</t>
  </si>
  <si>
    <t xml:space="preserve">vk.com/ivan_vachev</t>
  </si>
  <si>
    <t xml:space="preserve">t.vacheva@mail.ru</t>
  </si>
  <si>
    <t xml:space="preserve">Золотарев</t>
  </si>
  <si>
    <t xml:space="preserve">Возможно не смогу посетить последние дни школы "Сигма"  из-за отпуска родителей.</t>
  </si>
  <si>
    <t xml:space="preserve">vk.com/zolotadmitriy</t>
  </si>
  <si>
    <t xml:space="preserve">zoloto6777@list.ru</t>
  </si>
  <si>
    <t xml:space="preserve">БОУОО"МОЦРО№117"</t>
  </si>
  <si>
    <t xml:space="preserve">vk.com/sevastyanp</t>
  </si>
  <si>
    <t xml:space="preserve">sevapanov@yandex.ru</t>
  </si>
  <si>
    <t xml:space="preserve">Никифоров</t>
  </si>
  <si>
    <t xml:space="preserve">vk.com/luckea</t>
  </si>
  <si>
    <t xml:space="preserve">lukanik29@gmail.com</t>
  </si>
  <si>
    <t xml:space="preserve">Вяземский</t>
  </si>
  <si>
    <t xml:space="preserve">Ян</t>
  </si>
  <si>
    <t xml:space="preserve">vk.com/yan_vyazem</t>
  </si>
  <si>
    <t xml:space="preserve">yan.vyazemskiy@mail.ru</t>
  </si>
  <si>
    <t xml:space="preserve">svetlana.popova2012@mail.ru</t>
  </si>
  <si>
    <t xml:space="preserve">Крючкова</t>
  </si>
  <si>
    <t xml:space="preserve">vk.com/unfraid</t>
  </si>
  <si>
    <t xml:space="preserve">qdemi@mail.ru</t>
  </si>
  <si>
    <t xml:space="preserve">vk.com/georgela</t>
  </si>
  <si>
    <t xml:space="preserve">georgelap@mail.ru</t>
  </si>
  <si>
    <t xml:space="preserve">Коломеец</t>
  </si>
  <si>
    <t xml:space="preserve">БОУ СОШУИОП 73</t>
  </si>
  <si>
    <t xml:space="preserve">vk.com/id157847345</t>
  </si>
  <si>
    <t xml:space="preserve">ania.siekriet@mail.ru</t>
  </si>
  <si>
    <t xml:space="preserve">Рябцев</t>
  </si>
  <si>
    <t xml:space="preserve">Данил</t>
  </si>
  <si>
    <t xml:space="preserve">Хочу участвовать с самого начала весь учебный день.</t>
  </si>
  <si>
    <t xml:space="preserve">vk.com/danil.ryabtsev</t>
  </si>
  <si>
    <t xml:space="preserve">idanny.ry@gmail.com</t>
  </si>
  <si>
    <t xml:space="preserve">Базиль</t>
  </si>
  <si>
    <t xml:space="preserve">vk.com/id136665279</t>
  </si>
  <si>
    <t xml:space="preserve">AlexCooper1309@gmail.com</t>
  </si>
  <si>
    <t xml:space="preserve">кроме двух дней в неделю(вполне возможно, что все дни буду)</t>
  </si>
  <si>
    <t xml:space="preserve">Романенко</t>
  </si>
  <si>
    <t xml:space="preserve">vk.com/idannromm</t>
  </si>
  <si>
    <t xml:space="preserve">annaromanencomail@mail.ru</t>
  </si>
  <si>
    <t xml:space="preserve">Белозерова</t>
  </si>
  <si>
    <t xml:space="preserve">vk.com/obeloz</t>
  </si>
  <si>
    <t xml:space="preserve">Basyanet@gmail.com</t>
  </si>
  <si>
    <t xml:space="preserve">vk.com/evverything_is_allowed</t>
  </si>
  <si>
    <t xml:space="preserve">Киселев</t>
  </si>
  <si>
    <t xml:space="preserve">Лицей №149</t>
  </si>
  <si>
    <t xml:space="preserve">Может быть только первую половину</t>
  </si>
  <si>
    <t xml:space="preserve">vk.com/fogo_f</t>
  </si>
  <si>
    <t xml:space="preserve">Kirill_k2002@mail.ru</t>
  </si>
  <si>
    <t xml:space="preserve">vk.com/id377773056</t>
  </si>
  <si>
    <t xml:space="preserve">vk.com/id316784802</t>
  </si>
  <si>
    <t xml:space="preserve">Дизер</t>
  </si>
  <si>
    <t xml:space="preserve">Маргарита</t>
  </si>
  <si>
    <t xml:space="preserve">vk.com/ekweis</t>
  </si>
  <si>
    <t xml:space="preserve">ieufloria@gmail.com</t>
  </si>
  <si>
    <t xml:space="preserve">kate_efimova@inbox.ru</t>
  </si>
  <si>
    <t xml:space="preserve">vk.com/m.arkushenko</t>
  </si>
  <si>
    <t xml:space="preserve">t001@inbox.ru</t>
  </si>
  <si>
    <t xml:space="preserve">Гарбуз</t>
  </si>
  <si>
    <t xml:space="preserve">Арина</t>
  </si>
  <si>
    <t xml:space="preserve">Кушнарева</t>
  </si>
  <si>
    <t xml:space="preserve">гимназия 159</t>
  </si>
  <si>
    <t xml:space="preserve">vk.com/akushnareva2000</t>
  </si>
  <si>
    <t xml:space="preserve">anastasiakushnareva26@gmail.com</t>
  </si>
  <si>
    <t xml:space="preserve">Артамонов</t>
  </si>
  <si>
    <t xml:space="preserve">Гимназия № 140</t>
  </si>
  <si>
    <t xml:space="preserve">vk.com/svandrith</t>
  </si>
  <si>
    <t xml:space="preserve">mr.viktorasov@mail.ru</t>
  </si>
  <si>
    <t xml:space="preserve">vk.com/id262530619</t>
  </si>
  <si>
    <t xml:space="preserve">vk.com/id269312243</t>
  </si>
  <si>
    <t xml:space="preserve">Янукова</t>
  </si>
  <si>
    <t xml:space="preserve">vk.com/id150796947</t>
  </si>
  <si>
    <t xml:space="preserve">elena051178@gmail.com</t>
  </si>
  <si>
    <t xml:space="preserve">Захарова</t>
  </si>
  <si>
    <t xml:space="preserve">Татьяна</t>
  </si>
  <si>
    <t xml:space="preserve">vk.com/tanya080900</t>
  </si>
  <si>
    <t xml:space="preserve">t.zakharova809@gmail.com</t>
  </si>
  <si>
    <t xml:space="preserve">Савченко</t>
  </si>
  <si>
    <t xml:space="preserve">vk.com/id163053104</t>
  </si>
  <si>
    <t xml:space="preserve">skld0@bk.ru</t>
  </si>
  <si>
    <t xml:space="preserve">vk.com/id336544709</t>
  </si>
  <si>
    <t xml:space="preserve">Черноок</t>
  </si>
  <si>
    <t xml:space="preserve">vk.com/id149548495</t>
  </si>
  <si>
    <t xml:space="preserve">egor-chernook@mail.ru</t>
  </si>
  <si>
    <t xml:space="preserve">vk.com/id249818753</t>
  </si>
  <si>
    <t xml:space="preserve">kov_otp@mail.ru</t>
  </si>
  <si>
    <t xml:space="preserve">БОУ г. Омска Лицей №66</t>
  </si>
  <si>
    <t xml:space="preserve">Олейник</t>
  </si>
  <si>
    <t xml:space="preserve">vk.com/lololen.gobz</t>
  </si>
  <si>
    <t xml:space="preserve">Лень</t>
  </si>
  <si>
    <t xml:space="preserve">vk.com/id383760243</t>
  </si>
  <si>
    <t xml:space="preserve">smirnov2571@gmail.com</t>
  </si>
  <si>
    <t xml:space="preserve">Успанова</t>
  </si>
  <si>
    <t xml:space="preserve">Розалита</t>
  </si>
  <si>
    <t xml:space="preserve">№81</t>
  </si>
  <si>
    <t xml:space="preserve">vk.com/id162562572</t>
  </si>
  <si>
    <t xml:space="preserve">aferim11@mail.ru</t>
  </si>
  <si>
    <t xml:space="preserve">vk.com/anna_dolgova2004</t>
  </si>
  <si>
    <t xml:space="preserve">Ctvty0604@mail.ru</t>
  </si>
  <si>
    <t xml:space="preserve">17 часла у мамы день рождения - могу частично пропустить)</t>
  </si>
  <si>
    <t xml:space="preserve">vk.com/demenkovalexey</t>
  </si>
  <si>
    <t xml:space="preserve">Рудских</t>
  </si>
  <si>
    <t xml:space="preserve">vk.com/d.rudskikh</t>
  </si>
  <si>
    <t xml:space="preserve">rudskihda@gmail.com</t>
  </si>
  <si>
    <t xml:space="preserve">Целиков</t>
  </si>
  <si>
    <t xml:space="preserve">vk.com/id179533793</t>
  </si>
  <si>
    <t xml:space="preserve">tselikov_2004@mail.ru</t>
  </si>
  <si>
    <t xml:space="preserve">Гричкоедова</t>
  </si>
  <si>
    <t xml:space="preserve">БОУ Лицей №149</t>
  </si>
  <si>
    <t xml:space="preserve">vk.com/grichkoedova</t>
  </si>
  <si>
    <t xml:space="preserve">grichkoedova@yandex.ru</t>
  </si>
  <si>
    <t xml:space="preserve">Рогова</t>
  </si>
  <si>
    <t xml:space="preserve">vk.com/juliarrrrrx</t>
  </si>
  <si>
    <t xml:space="preserve">Www.89514263078.ru@mail.ru</t>
  </si>
  <si>
    <t xml:space="preserve">Мороз</t>
  </si>
  <si>
    <t xml:space="preserve">semenische@icloud.com</t>
  </si>
  <si>
    <t xml:space="preserve">Васянович</t>
  </si>
  <si>
    <t xml:space="preserve">Лицей №54</t>
  </si>
  <si>
    <t xml:space="preserve">vk.com/science_tk</t>
  </si>
  <si>
    <t xml:space="preserve">vasyanovichartem@gmail.com</t>
  </si>
  <si>
    <t xml:space="preserve">Бабенко</t>
  </si>
  <si>
    <t xml:space="preserve">vk.com/id248288690</t>
  </si>
  <si>
    <t xml:space="preserve">babenko254@gmail.com</t>
  </si>
  <si>
    <t xml:space="preserve">Сербин</t>
  </si>
  <si>
    <t xml:space="preserve">vk.com/id352280379</t>
  </si>
  <si>
    <t xml:space="preserve">Serbinmax@gmail.com</t>
  </si>
  <si>
    <t xml:space="preserve">vk.com/vlicharovski</t>
  </si>
  <si>
    <t xml:space="preserve">vk.com/andrezolnikov</t>
  </si>
  <si>
    <t xml:space="preserve">Точилов</t>
  </si>
  <si>
    <t xml:space="preserve">vk.com/uhhkjg78ygh</t>
  </si>
  <si>
    <t xml:space="preserve">vladislavtochilov@gmail.com</t>
  </si>
  <si>
    <t xml:space="preserve">Оваканян</t>
  </si>
  <si>
    <t xml:space="preserve">Буду с 8 июля</t>
  </si>
  <si>
    <t xml:space="preserve">vk.com/vrnkvknn</t>
  </si>
  <si>
    <t xml:space="preserve">oganes_ovakanyan@mail.ru</t>
  </si>
  <si>
    <t xml:space="preserve">Петухова</t>
  </si>
  <si>
    <t xml:space="preserve">№7</t>
  </si>
  <si>
    <t xml:space="preserve">vk.com/ddp102f</t>
  </si>
  <si>
    <t xml:space="preserve">АНОО "Видергебурт", с восьмого класса "МОЦРО 117"</t>
  </si>
  <si>
    <t xml:space="preserve">Смогу ходить с 10 июля, т.к. до этого буду в отъезде.</t>
  </si>
  <si>
    <t xml:space="preserve">vk.com/id382406601</t>
  </si>
  <si>
    <t xml:space="preserve">БОУ ОО г. Омска МОЦРО "ГИнмазия 117"</t>
  </si>
  <si>
    <t xml:space="preserve">vk.com/id403901742</t>
  </si>
  <si>
    <t xml:space="preserve">vk.com/id276675815</t>
  </si>
  <si>
    <t xml:space="preserve">moinikita333@yandex.ru</t>
  </si>
  <si>
    <t xml:space="preserve">Новопашина</t>
  </si>
  <si>
    <t xml:space="preserve">vk.com/id172201719</t>
  </si>
  <si>
    <t xml:space="preserve">novopashina.eliz@yandex.ru</t>
  </si>
  <si>
    <t xml:space="preserve">Грушко</t>
  </si>
  <si>
    <t xml:space="preserve">vk.com/id340132670</t>
  </si>
  <si>
    <t xml:space="preserve">grushko.alex@gmail.com</t>
  </si>
  <si>
    <t xml:space="preserve">Бендик</t>
  </si>
  <si>
    <t xml:space="preserve">vk.com/id189813664</t>
  </si>
  <si>
    <t xml:space="preserve">ilyabend@yandex.ru</t>
  </si>
  <si>
    <t xml:space="preserve">Гулькин</t>
  </si>
  <si>
    <t xml:space="preserve">Не весь учебный день</t>
  </si>
  <si>
    <t xml:space="preserve">nvita0211@gmail.com</t>
  </si>
  <si>
    <t xml:space="preserve">Суров</t>
  </si>
  <si>
    <t xml:space="preserve">vk.com/id411925471</t>
  </si>
  <si>
    <t xml:space="preserve">surova_kristina@inbox.ru</t>
  </si>
  <si>
    <t xml:space="preserve">tishenko.elena.m@mail.ru</t>
  </si>
  <si>
    <t xml:space="preserve">БОУ СОШ 3</t>
  </si>
  <si>
    <t xml:space="preserve">Вопрос с 09.07</t>
  </si>
  <si>
    <t xml:space="preserve">Алтышев</t>
  </si>
  <si>
    <t xml:space="preserve">Артем</t>
  </si>
  <si>
    <t xml:space="preserve">vk.com/id312748553</t>
  </si>
  <si>
    <t xml:space="preserve">artem-altyshev@mail.ru</t>
  </si>
  <si>
    <t xml:space="preserve">vk.com/lzheldak</t>
  </si>
  <si>
    <t xml:space="preserve">leonid.zheldak@rambler.ru</t>
  </si>
  <si>
    <t xml:space="preserve">vk.com/username1908</t>
  </si>
  <si>
    <t xml:space="preserve">Спиридонова</t>
  </si>
  <si>
    <t xml:space="preserve">Павлова</t>
  </si>
  <si>
    <t xml:space="preserve">Продолжающие</t>
  </si>
  <si>
    <t xml:space="preserve">Прекратившие</t>
  </si>
  <si>
    <t xml:space="preserve">ФИО</t>
  </si>
  <si>
    <t xml:space="preserve">Ф</t>
  </si>
  <si>
    <t xml:space="preserve">И</t>
  </si>
  <si>
    <t xml:space="preserve">О</t>
  </si>
  <si>
    <t xml:space="preserve">Наличие в Сигме</t>
  </si>
  <si>
    <t xml:space="preserve">Савельева Ева Станиславовна</t>
  </si>
  <si>
    <t xml:space="preserve">Гнилякевич Николай Юрьевич</t>
  </si>
  <si>
    <t xml:space="preserve">Хохлов Александр Вадимович</t>
  </si>
  <si>
    <t xml:space="preserve">Плахотников Владимир</t>
  </si>
  <si>
    <t xml:space="preserve">Никель Мария Викторовна</t>
  </si>
  <si>
    <t xml:space="preserve">Ракова Елизавета Олеговна</t>
  </si>
  <si>
    <t xml:space="preserve">Козлов Степан Сергеевич</t>
  </si>
  <si>
    <t xml:space="preserve">Ловкина Анастасия</t>
  </si>
  <si>
    <t xml:space="preserve">Коротченко Матвей</t>
  </si>
  <si>
    <t xml:space="preserve">Перкова Дарья Сергеевна</t>
  </si>
  <si>
    <t xml:space="preserve">Саньков Иван Георгиевич</t>
  </si>
  <si>
    <t xml:space="preserve">Кабиденов Данияр</t>
  </si>
  <si>
    <t xml:space="preserve">Хаиржанова Асель Нуржановна</t>
  </si>
  <si>
    <t xml:space="preserve">Татаринова Юлия</t>
  </si>
  <si>
    <t xml:space="preserve">Крючков Сергей Александрович</t>
  </si>
  <si>
    <t xml:space="preserve">Колесников Тимофей</t>
  </si>
  <si>
    <t xml:space="preserve">Сивиринов Никита Сергеевич</t>
  </si>
  <si>
    <t xml:space="preserve">Яценко Владислав Владимирович</t>
  </si>
  <si>
    <t xml:space="preserve">Голенков Игорь</t>
  </si>
  <si>
    <t xml:space="preserve">Крючков Михаил Александрович</t>
  </si>
  <si>
    <t xml:space="preserve">Геворгян Рафаэль</t>
  </si>
  <si>
    <t xml:space="preserve">Чаплышкин Сергей Андреевич</t>
  </si>
  <si>
    <t xml:space="preserve">Ефимченко Марк Игорьевич</t>
  </si>
  <si>
    <t xml:space="preserve">Ермолаев Глеб</t>
  </si>
  <si>
    <t xml:space="preserve">Ермолаев Богдан</t>
  </si>
  <si>
    <t xml:space="preserve">Урусов Никита</t>
  </si>
  <si>
    <t xml:space="preserve">Широкова Ирина Сергеевна</t>
  </si>
  <si>
    <t xml:space="preserve">Кайдаулов Юрий Юрьевич</t>
  </si>
  <si>
    <t xml:space="preserve">Кухтий Никита Евгеньевич</t>
  </si>
  <si>
    <t xml:space="preserve">Тимошенко	Данил Павлович</t>
  </si>
  <si>
    <t xml:space="preserve">Тимошенко Анастасия</t>
  </si>
  <si>
    <t xml:space="preserve">Толмачев Артем</t>
  </si>
  <si>
    <t xml:space="preserve">Никитин Николай</t>
  </si>
  <si>
    <t xml:space="preserve">Молоторенко Анна Павловна</t>
  </si>
  <si>
    <t xml:space="preserve">Олейник Юлия Сергеевна</t>
  </si>
  <si>
    <t xml:space="preserve">Тарасенко Роман Евгеньевич</t>
  </si>
  <si>
    <t xml:space="preserve">Анохина Полина Александровна</t>
  </si>
  <si>
    <t xml:space="preserve">Зырянов Иван Евгеньевич</t>
  </si>
  <si>
    <t xml:space="preserve">Олифер Вячеслав Евгеньевич</t>
  </si>
  <si>
    <t xml:space="preserve">Чаунина Екатерина Дмитриевна</t>
  </si>
  <si>
    <t xml:space="preserve">Оларь Михаил Александрович</t>
  </si>
  <si>
    <t xml:space="preserve">Леонтьева Ольга Максимовна</t>
  </si>
  <si>
    <t xml:space="preserve">Таможникова Вероника</t>
  </si>
  <si>
    <t xml:space="preserve">Фомин Алексей Александрович</t>
  </si>
  <si>
    <t xml:space="preserve">Осипова Валентина Витальевна</t>
  </si>
  <si>
    <t xml:space="preserve">Куркуянец Георгий Александрович</t>
  </si>
  <si>
    <t xml:space="preserve">Борзенков Владимир Дмитриевич</t>
  </si>
  <si>
    <t xml:space="preserve">Терехина Елизавета Александровна</t>
  </si>
  <si>
    <t xml:space="preserve">Приходько Михаил Александрович</t>
  </si>
  <si>
    <t xml:space="preserve">Барабанова Дарья Дмитриевна</t>
  </si>
  <si>
    <t xml:space="preserve">Катаманина Софья Николаевна</t>
  </si>
  <si>
    <t xml:space="preserve">Васильев Сергей Павлович</t>
  </si>
  <si>
    <t xml:space="preserve">Зольников Олег Сергеевич</t>
  </si>
  <si>
    <t xml:space="preserve">Зольникова Полина Сергеевна</t>
  </si>
  <si>
    <t xml:space="preserve">Филимонова Ольга Дмитриевна</t>
  </si>
  <si>
    <t xml:space="preserve">Орлов Артем Дмитриевич</t>
  </si>
  <si>
    <t xml:space="preserve">Хрущ Яна Андреевна</t>
  </si>
  <si>
    <t xml:space="preserve">Лаптева Анна Анатольевна</t>
  </si>
  <si>
    <t xml:space="preserve">Покотило Андрей Дмитриевич</t>
  </si>
  <si>
    <t xml:space="preserve">Дерябин Андрей Александрович</t>
  </si>
  <si>
    <t xml:space="preserve">Борисец Анастасия Максимовна</t>
  </si>
  <si>
    <t xml:space="preserve">Еремеев Андрей</t>
  </si>
  <si>
    <t xml:space="preserve">Перевальская  Алёна</t>
  </si>
  <si>
    <t xml:space="preserve">Желнин Максим Юрьевич</t>
  </si>
  <si>
    <t xml:space="preserve">Бочеева Ульяна Павловна</t>
  </si>
  <si>
    <t xml:space="preserve">Темникова Дарья Вячеславовна</t>
  </si>
  <si>
    <t xml:space="preserve">Кузнецов Данил Олегович</t>
  </si>
  <si>
    <t xml:space="preserve">Адам Адлет Берген-улы</t>
  </si>
  <si>
    <t xml:space="preserve">Тюменцева Полина</t>
  </si>
  <si>
    <t xml:space="preserve">Рогоза Владислав Юрьевич</t>
  </si>
  <si>
    <t xml:space="preserve">Калушина Екатерина Дмитриевна</t>
  </si>
  <si>
    <t xml:space="preserve">Кано Максим Игорьевич</t>
  </si>
  <si>
    <t xml:space="preserve">Каширская Виктория Станиславовна</t>
  </si>
  <si>
    <t xml:space="preserve">Козин Игорь Витальевич</t>
  </si>
  <si>
    <t xml:space="preserve">Иванов	Алексей 	Николаевич</t>
  </si>
  <si>
    <t xml:space="preserve">Полищук Мария Вячеславовна</t>
  </si>
  <si>
    <t xml:space="preserve">Хлыбова Екатерина Сергеевна</t>
  </si>
  <si>
    <t xml:space="preserve">Никоноров Максим Юрьевич</t>
  </si>
  <si>
    <t xml:space="preserve">Раевский Антон Михайлович</t>
  </si>
  <si>
    <t xml:space="preserve">Морозов Дмитрий Владимирович</t>
  </si>
  <si>
    <t xml:space="preserve">Егорова Софья Борисовна</t>
  </si>
  <si>
    <t xml:space="preserve">Ермолаева Николь</t>
  </si>
  <si>
    <t xml:space="preserve">Карнаухова Кристина Анатольевна</t>
  </si>
  <si>
    <t xml:space="preserve">Литвиненко Александра</t>
  </si>
  <si>
    <t xml:space="preserve">Киямова Наиля Ринатовна</t>
  </si>
  <si>
    <t xml:space="preserve">Гайкалов Максим Сергеевич</t>
  </si>
  <si>
    <t xml:space="preserve">Сухоруков Глеб Константинович</t>
  </si>
  <si>
    <t xml:space="preserve">Триколе Максим</t>
  </si>
  <si>
    <t xml:space="preserve">Шуляков Глеб Олегович</t>
  </si>
  <si>
    <t xml:space="preserve">Гранкин Никита Алексеевич</t>
  </si>
  <si>
    <t xml:space="preserve">Голицына Александра Артемовна</t>
  </si>
  <si>
    <t xml:space="preserve">Голицына Анастасия</t>
  </si>
  <si>
    <t xml:space="preserve">Конычев Арсений Сергеевич</t>
  </si>
  <si>
    <t xml:space="preserve">Ушакова Любовь</t>
  </si>
  <si>
    <t xml:space="preserve">Привалова Александра Станиславовна</t>
  </si>
  <si>
    <t xml:space="preserve">Акбергенов Адият Нурахметович</t>
  </si>
  <si>
    <t xml:space="preserve">Мельничук Александр Сергеевич</t>
  </si>
  <si>
    <t xml:space="preserve">Белозерова Ольга Игоревна</t>
  </si>
  <si>
    <t xml:space="preserve">Мельникова Анна Вячеславовна</t>
  </si>
  <si>
    <t xml:space="preserve">Климова Анна Станиславовна</t>
  </si>
  <si>
    <t xml:space="preserve">Шкабарня Алексей Сергеевич</t>
  </si>
  <si>
    <t xml:space="preserve">Лим Владимир Валерьевич</t>
  </si>
  <si>
    <t xml:space="preserve">Корнилов Никита Анатольевич</t>
  </si>
  <si>
    <t xml:space="preserve">Клюева Полина Игоревна</t>
  </si>
  <si>
    <t xml:space="preserve">Полецкая Александра Олеговна</t>
  </si>
  <si>
    <t xml:space="preserve">Абдуллаева Анастасия Вадимовна</t>
  </si>
  <si>
    <t xml:space="preserve">Ковалева Елена Васильевна</t>
  </si>
  <si>
    <t xml:space="preserve">Богданов Михаил</t>
  </si>
  <si>
    <t xml:space="preserve">Егорченков Платон</t>
  </si>
  <si>
    <t xml:space="preserve">Егорченкова София Олеговна</t>
  </si>
  <si>
    <t xml:space="preserve">Маслов Богдан</t>
  </si>
  <si>
    <t xml:space="preserve">Крайкина Анастасия Сергеевна</t>
  </si>
  <si>
    <t xml:space="preserve">Спичка Александр Сергеевич</t>
  </si>
  <si>
    <t xml:space="preserve">Лапшаков Денис Даниилович</t>
  </si>
  <si>
    <t xml:space="preserve">Конохов Андрей Валерьевич</t>
  </si>
  <si>
    <t xml:space="preserve">Фоменко Елизавета Антоновна</t>
  </si>
  <si>
    <t xml:space="preserve">Фоменко Мария</t>
  </si>
  <si>
    <t xml:space="preserve">Нестеров Денис</t>
  </si>
  <si>
    <t xml:space="preserve">Доктор Стрейнджлав, или Как я научился не волноваться и полюбил атомную бомбу, Дурак, Гаттака, Тайна Коко, Мне бы в небо</t>
  </si>
  <si>
    <t xml:space="preserve">Ложников Виктор</t>
  </si>
  <si>
    <t xml:space="preserve">Гаттака, Девять, Тайна Коко, Одержимость, Курьер</t>
  </si>
  <si>
    <t xml:space="preserve">валдис валдис</t>
  </si>
  <si>
    <t xml:space="preserve">Тайна Коко, Реальные упыри, Курьер</t>
  </si>
  <si>
    <t xml:space="preserve">Тищенко Дарья</t>
  </si>
  <si>
    <t xml:space="preserve">Реальные упыри, Величайший шоумен</t>
  </si>
  <si>
    <t xml:space="preserve">Киямова Наиля</t>
  </si>
  <si>
    <t xml:space="preserve">Доктор Стрейнджлав, или Как я научился не волноваться и полюбил атомную бомбу, Последний самурай, Тайна Коко, Одержимость, Кто я?</t>
  </si>
  <si>
    <t xml:space="preserve">Мария Рождественская</t>
  </si>
  <si>
    <t xml:space="preserve">Последний самурай, Кейт и Лео, Мне бы в небо</t>
  </si>
  <si>
    <t xml:space="preserve">Алиса Темерева</t>
  </si>
  <si>
    <t xml:space="preserve">Дурак, Реальные упыри, Величайший шоумен</t>
  </si>
  <si>
    <t xml:space="preserve">Шестаков Михаил</t>
  </si>
  <si>
    <t xml:space="preserve">Доктор Стрейнджлав, или Как я научился не волноваться и полюбил атомную бомбу, Дурак, Дюнкерк, Тайна Коко, Реальные упыри</t>
  </si>
  <si>
    <t xml:space="preserve">Ходарина Алина </t>
  </si>
  <si>
    <t xml:space="preserve">Дурак, Гаттака, Кейт и Лео, Тайна Коко, Курьер</t>
  </si>
  <si>
    <t xml:space="preserve">Мельник Диана</t>
  </si>
  <si>
    <t xml:space="preserve">Дурак, Девять, Тайна Коко, Одержимость, Реальные упыри</t>
  </si>
  <si>
    <t xml:space="preserve">Вирт Кирилл</t>
  </si>
  <si>
    <t xml:space="preserve">Последний самурай, Девять, Одержимость, Курьер, Величайший шоумен</t>
  </si>
  <si>
    <t xml:space="preserve">Зайцева Вика </t>
  </si>
  <si>
    <t xml:space="preserve">Доктор Стрейнджлав, или Как я научился не волноваться и полюбил атомную бомбу, Дурак, Курьер</t>
  </si>
  <si>
    <t xml:space="preserve">Локтионова Даниэла</t>
  </si>
  <si>
    <t xml:space="preserve">Дюнкерк, Кейт и Лео, Мне бы в небо, Величайший шоумен, Кто я?</t>
  </si>
  <si>
    <t xml:space="preserve">Мар Вазовский</t>
  </si>
  <si>
    <t xml:space="preserve">Величайший шоумен, Кто я?</t>
  </si>
  <si>
    <t xml:space="preserve">Мальцев Владимир </t>
  </si>
  <si>
    <t xml:space="preserve">Дурак, Дюнкерк, Реальные упыри, Величайший шоумен, Кто я?</t>
  </si>
  <si>
    <t xml:space="preserve">Сидоров Никита</t>
  </si>
  <si>
    <t xml:space="preserve">Дюнкерк, Девять, Тайна Коко, Курьер, Величайший шоумен</t>
  </si>
  <si>
    <t xml:space="preserve">Таушкина Люба </t>
  </si>
  <si>
    <t xml:space="preserve">Доктор Стрейнджлав, или Как я научился не волноваться и полюбил атомную бомбу, Дюнкерк, Девять, Одержимость, Кто я?</t>
  </si>
  <si>
    <t xml:space="preserve">Бахмутский Андрей</t>
  </si>
  <si>
    <t xml:space="preserve">Дурак, Дюнкерк, Мне бы в небо, Курьер</t>
  </si>
  <si>
    <t xml:space="preserve">Левченко Владислав</t>
  </si>
  <si>
    <t xml:space="preserve">Девять, Одержимость</t>
  </si>
  <si>
    <t xml:space="preserve">Сушкова Ирина </t>
  </si>
  <si>
    <t xml:space="preserve">Гаттака, Девять, Тайна Коко, Величайший шоумен</t>
  </si>
  <si>
    <t xml:space="preserve">Ушаков Константин</t>
  </si>
  <si>
    <t xml:space="preserve">Дурак, Дюнкерк, Мне бы в небо, Одержимость</t>
  </si>
  <si>
    <t xml:space="preserve">Яковлева Евгения</t>
  </si>
  <si>
    <t xml:space="preserve">Гаттака, Кейт и Лео, Мне бы в небо, Курьер</t>
  </si>
  <si>
    <t xml:space="preserve">Шпакова Евгения</t>
  </si>
  <si>
    <t xml:space="preserve">Доктор Стрейнджлав, или Как я научился не волноваться и полюбил атомную бомбу, Странники</t>
  </si>
  <si>
    <t xml:space="preserve">Задорожная Виолетта</t>
  </si>
  <si>
    <t xml:space="preserve">Последний самурай, Дурак, Гаттака, Тайна Коко, Одержимость</t>
  </si>
  <si>
    <t xml:space="preserve">Мозылева Мария </t>
  </si>
  <si>
    <t xml:space="preserve">Дурак, Дюнкерк, Мне бы в небо, Величайший шоумен, Кто я?</t>
  </si>
  <si>
    <t xml:space="preserve">Женя Ткачёва :)</t>
  </si>
  <si>
    <t xml:space="preserve">Дурак, Кейт и Лео, Величайший шоумен</t>
  </si>
  <si>
    <t xml:space="preserve">Корнев Егор</t>
  </si>
  <si>
    <t xml:space="preserve">Доктор Стрейнджлав, или Как я научился не волноваться и полюбил атомную бомбу, Дурак, Девять, Странники</t>
  </si>
  <si>
    <t xml:space="preserve">Богданова Анастасия</t>
  </si>
  <si>
    <t xml:space="preserve">Гаттака, Дюнкерк, Девять, Кейт и Лео, Одержимость</t>
  </si>
  <si>
    <t xml:space="preserve">Саша хохлов))0)</t>
  </si>
  <si>
    <t xml:space="preserve">Крючков михаил </t>
  </si>
  <si>
    <t xml:space="preserve">Величайший шоумен</t>
  </si>
  <si>
    <t xml:space="preserve">Кайданович Дарья</t>
  </si>
  <si>
    <t xml:space="preserve">Дурак, Дюнкерк, Реальные упыри</t>
  </si>
  <si>
    <t xml:space="preserve">Задворнов Славик</t>
  </si>
  <si>
    <t xml:space="preserve">Доктор Стрейнджлав, или Как я научился не волноваться и полюбил атомную бомбу, Последний самурай, Дурак, Курьер, Кто я?</t>
  </si>
  <si>
    <t xml:space="preserve">Макарова Елизавета</t>
  </si>
  <si>
    <t xml:space="preserve">Гаттака, Кейт и Лео, Тайна Коко, Одержимость, Величайший шоумен</t>
  </si>
  <si>
    <t xml:space="preserve">Долгова Анна</t>
  </si>
  <si>
    <t xml:space="preserve">Дурак, Девять, Кейт и Лео, Тайна Коко, Реальные упыри</t>
  </si>
  <si>
    <t xml:space="preserve">Козловская Мария</t>
  </si>
  <si>
    <t xml:space="preserve">Дурак, Кейт и Лео, Тайна Коко, Реальные упыри</t>
  </si>
  <si>
    <t xml:space="preserve">Куличенко Катя </t>
  </si>
  <si>
    <t xml:space="preserve">Дурак, Реальные упыри, Курьер</t>
  </si>
  <si>
    <t xml:space="preserve">Вова Суднев</t>
  </si>
  <si>
    <t xml:space="preserve">Последний самурай, Девять, Тайна Коко, Реальные упыри</t>
  </si>
  <si>
    <t xml:space="preserve">Савиных Кристина</t>
  </si>
  <si>
    <t xml:space="preserve">Доктор Стрейнджлав, или Как я научился не волноваться и полюбил атомную бомбу, Гаттака, Дюнкерк, Тайна Коко, Одержимость</t>
  </si>
  <si>
    <t xml:space="preserve">Валитов Андрей</t>
  </si>
  <si>
    <t xml:space="preserve">Дурак, Дюнкерк, Одержимость</t>
  </si>
  <si>
    <t xml:space="preserve">Малиновский Илья</t>
  </si>
  <si>
    <t xml:space="preserve">Гаттака, Дюнкерк, Девять, Странники, Кто я?</t>
  </si>
  <si>
    <t xml:space="preserve">Патронова Елизавета</t>
  </si>
  <si>
    <t xml:space="preserve">Гаттака, Дюнкерк, Величайший шоумен</t>
  </si>
  <si>
    <t xml:space="preserve">Лазарев Анатолий</t>
  </si>
  <si>
    <t xml:space="preserve">Доктор Стрейнджлав, или Как я научился не волноваться и полюбил атомную бомбу, Гаттака, Девять, Курьер</t>
  </si>
  <si>
    <t xml:space="preserve">Полищук мария</t>
  </si>
  <si>
    <t xml:space="preserve">Доктор Стрейнджлав, или Как я научился не волноваться и полюбил атомную бомбу, Дурак, Гаттака, Девять, Курьер</t>
  </si>
  <si>
    <t xml:space="preserve">Изя Абрамович</t>
  </si>
  <si>
    <t xml:space="preserve">Дурак, Дюнкерк, Одержимость, Курьер, Кто я?</t>
  </si>
  <si>
    <t xml:space="preserve">Яна Франк</t>
  </si>
  <si>
    <t xml:space="preserve">Доктор Стрейнджлав, или Как я научился не волноваться и полюбил атомную бомбу, Кейт и Лео, Тайна Коко, Одержимость, Величайший шоумен</t>
  </si>
  <si>
    <t xml:space="preserve">Широкова Ира</t>
  </si>
  <si>
    <t xml:space="preserve">Доктор Стрейнджлав, или Как я научился не волноваться и полюбил атомную бомбу</t>
  </si>
  <si>
    <t xml:space="preserve">Гарбуз Арина </t>
  </si>
  <si>
    <t xml:space="preserve">Гаттака</t>
  </si>
  <si>
    <t xml:space="preserve">Ира Геталова</t>
  </si>
  <si>
    <t xml:space="preserve">Гаттака, Дюнкерк, Девять, Одержимость, Странники</t>
  </si>
  <si>
    <t xml:space="preserve">Кривцова Аня</t>
  </si>
  <si>
    <t xml:space="preserve">Гаттака, Кейт и Лео, Одержимость</t>
  </si>
  <si>
    <t xml:space="preserve">Гаттака, Дюнкерк, Курьер, Величайший шоумен</t>
  </si>
  <si>
    <t xml:space="preserve">Руль Виктория  </t>
  </si>
  <si>
    <t xml:space="preserve">Мне бы в небо, Одержимость, Курьер</t>
  </si>
  <si>
    <t xml:space="preserve">Асаинов Дарий</t>
  </si>
  <si>
    <t xml:space="preserve">Дурак, Девять, Мне бы в небо, Одержимость</t>
  </si>
  <si>
    <t xml:space="preserve">Антон Выдрин</t>
  </si>
  <si>
    <t xml:space="preserve">Протченко Анастасия</t>
  </si>
  <si>
    <t xml:space="preserve">Дурак, Дюнкерк, Девять, Одержимость, Реальные упыри</t>
  </si>
  <si>
    <t xml:space="preserve">Лёха</t>
  </si>
  <si>
    <t xml:space="preserve">Доктор Стрейнджлав, или Как я научился не волноваться и полюбил атомную бомбу, Одержимость</t>
  </si>
  <si>
    <t xml:space="preserve">Протазанова Ольга</t>
  </si>
  <si>
    <t xml:space="preserve">Последний самурай, Дюнкерк, Кейт и Лео, Реальные упыри</t>
  </si>
  <si>
    <t xml:space="preserve">Васильева Маша</t>
  </si>
  <si>
    <t xml:space="preserve">Тайна Коко, Мне бы в небо, Одержимость</t>
  </si>
  <si>
    <t xml:space="preserve">Лян Слава</t>
  </si>
  <si>
    <t xml:space="preserve">Последний самурай, Кейт и Лео, Мне бы в небо, Одержимость, Кто я?</t>
  </si>
  <si>
    <t xml:space="preserve">Черных Софья </t>
  </si>
  <si>
    <t xml:space="preserve">Дурак, Гаттака, Одержимость, Курьер</t>
  </si>
  <si>
    <t xml:space="preserve">Черкасов Глеб</t>
  </si>
  <si>
    <t xml:space="preserve">Доктор Стрейнджлав, или Как я научился не волноваться и полюбил атомную бомбу, Дюнкерк, Тайна Коко, Величайший шоумен</t>
  </si>
  <si>
    <t xml:space="preserve">Малышков Роман</t>
  </si>
  <si>
    <t xml:space="preserve">Доктор Стрейнджлав, или Как я научился не волноваться и полюбил атомную бомбу, Гаттака, Дюнкерк, Реальные упыри, Странники</t>
  </si>
  <si>
    <t xml:space="preserve">Любавина София</t>
  </si>
  <si>
    <t xml:space="preserve">Последний самурай, Девять, Тайна Коко, Одержимость, Величайший шоумен</t>
  </si>
  <si>
    <t xml:space="preserve">Власов Роман</t>
  </si>
  <si>
    <t xml:space="preserve">Гаттака, Девять, Странники</t>
  </si>
  <si>
    <t xml:space="preserve">Ксюша Сушкова</t>
  </si>
  <si>
    <t xml:space="preserve">Девять, Величайший шоумен, Кто я?</t>
  </si>
  <si>
    <t xml:space="preserve">Гуртовенко Юля</t>
  </si>
  <si>
    <t xml:space="preserve">Гаттака, Кейт и Лео, Курьер, Странники, Кто я?</t>
  </si>
  <si>
    <t xml:space="preserve">Белим Екатерина </t>
  </si>
  <si>
    <t xml:space="preserve">Дурак, Одержимость, Реальные упыри, Курьер</t>
  </si>
  <si>
    <t xml:space="preserve">Христолюбов Богдан </t>
  </si>
  <si>
    <t xml:space="preserve">Дурак</t>
  </si>
  <si>
    <t xml:space="preserve">Малыхина Анастасия</t>
  </si>
  <si>
    <t xml:space="preserve">Кейт и Лео, Тайна Коко, Реальные упыри</t>
  </si>
  <si>
    <t xml:space="preserve">Мартынова Анастасия</t>
  </si>
  <si>
    <t xml:space="preserve">Одержимость, Курьер</t>
  </si>
  <si>
    <t xml:space="preserve">Уманский Роман</t>
  </si>
  <si>
    <t xml:space="preserve">Дурак, Девять, Тайна Коко, Величайший шоумен, Кто я?</t>
  </si>
  <si>
    <t xml:space="preserve">Моисеева Вероника </t>
  </si>
  <si>
    <t xml:space="preserve">Тайна Коко, Реальные упыри, Курьер, Кто я?</t>
  </si>
  <si>
    <t xml:space="preserve">Татаурова Софья</t>
  </si>
  <si>
    <t xml:space="preserve">Дурак, Тайна Коко, Величайший шоумен, Кто я?</t>
  </si>
  <si>
    <t xml:space="preserve">Муравьева Мария</t>
  </si>
  <si>
    <t xml:space="preserve">Панов Севастьян</t>
  </si>
  <si>
    <t xml:space="preserve">Тайна Коко</t>
  </si>
  <si>
    <t xml:space="preserve">Крючков Сергей</t>
  </si>
  <si>
    <t xml:space="preserve">Борисец Анастасия </t>
  </si>
  <si>
    <t xml:space="preserve">Дюнкерк, Девять, Одержимость, Величайший шоумен</t>
  </si>
  <si>
    <t xml:space="preserve">Братухина Альбина</t>
  </si>
  <si>
    <t xml:space="preserve">Гаттака, Кейт и Лео, Тайна Коко, Кто я?</t>
  </si>
  <si>
    <t xml:space="preserve">Никифоров Лука</t>
  </si>
  <si>
    <t xml:space="preserve">Последний самурай, Гаттака, Девять, Одержимость</t>
  </si>
  <si>
    <t xml:space="preserve">Усова Вероника</t>
  </si>
  <si>
    <t xml:space="preserve">Тайна Коко, Мне бы в небо, Одержимость, Курьер, Величайший шоумен</t>
  </si>
  <si>
    <t xml:space="preserve">Тарасенко Леонид</t>
  </si>
  <si>
    <t xml:space="preserve">Последний самурай, Дурак, Дюнкерк, Тайна Коко, Величайший шоумен</t>
  </si>
  <si>
    <t xml:space="preserve">Гнедина Юлия</t>
  </si>
  <si>
    <t xml:space="preserve">Дюнкерк, Тайна Коко, Курьер, Величайший шоумен</t>
  </si>
  <si>
    <t xml:space="preserve">Лиза </t>
  </si>
  <si>
    <t xml:space="preserve">Дурак, Мне бы в небо, Реальные упыри, Курьер</t>
  </si>
  <si>
    <t xml:space="preserve">Бурляев Илья</t>
  </si>
  <si>
    <t xml:space="preserve">Девять, Тайна Коко, Кто я?</t>
  </si>
  <si>
    <t xml:space="preserve">Терновая Надежда </t>
  </si>
  <si>
    <t xml:space="preserve">Одержимость, Реальные упыри, Странники, Величайший шоумен</t>
  </si>
  <si>
    <t xml:space="preserve">Желнин Максим</t>
  </si>
  <si>
    <t xml:space="preserve">Элизабетттт </t>
  </si>
  <si>
    <t xml:space="preserve">Доктор Стрейнджлав, или Как я научился не волноваться и полюбил атомную бомбу, Дурак, Дюнкерк, Одержимость, Реальные упыри</t>
  </si>
  <si>
    <t xml:space="preserve">Анохина Полина</t>
  </si>
  <si>
    <t xml:space="preserve">Синельникова Поля </t>
  </si>
  <si>
    <t xml:space="preserve">Тайна Коко, Величайший шоумен</t>
  </si>
  <si>
    <t xml:space="preserve">Терехова Мария </t>
  </si>
  <si>
    <t xml:space="preserve">Тайна Коко, Одержимость</t>
  </si>
  <si>
    <t xml:space="preserve">Шишко Алёна</t>
  </si>
  <si>
    <t xml:space="preserve">Дурак, Гаттака, Одержимость, Реальные упыри, Курьер</t>
  </si>
  <si>
    <t xml:space="preserve">Алёна Янковская</t>
  </si>
  <si>
    <t xml:space="preserve">Девять, Тайна Коко, Реальные упыри, Величайший шоумен, Кто я?</t>
  </si>
  <si>
    <t xml:space="preserve">Кузин Никита</t>
  </si>
  <si>
    <t xml:space="preserve">Последний самурай, Дюнкерк, Одержимость, Странники, Кто я?</t>
  </si>
  <si>
    <t xml:space="preserve">Матвей Измайлов</t>
  </si>
  <si>
    <t xml:space="preserve">Доктор Стрейнджлав, или Как я научился не волноваться и полюбил атомную бомбу, Кейт и Лео, Тайна Коко, Курьер, Величайший шоумен</t>
  </si>
  <si>
    <t xml:space="preserve">Калиниченко Арсений</t>
  </si>
  <si>
    <t xml:space="preserve">Доктор Стрейнджлав, или Как я научился не волноваться и полюбил атомную бомбу, Дурак, Гаттака, Одержимость, Курьер</t>
  </si>
  <si>
    <t xml:space="preserve">Деркач Александра</t>
  </si>
  <si>
    <t xml:space="preserve">Кочурова Лиза </t>
  </si>
  <si>
    <t xml:space="preserve">Девять, Тайна Коко, Величайший шоумен</t>
  </si>
  <si>
    <t xml:space="preserve">Последний самурай</t>
  </si>
  <si>
    <t xml:space="preserve">Дюнкерк</t>
  </si>
  <si>
    <t xml:space="preserve">Девять</t>
  </si>
  <si>
    <t xml:space="preserve">Кейт и Лео</t>
  </si>
  <si>
    <t xml:space="preserve">Мне бы в небо</t>
  </si>
  <si>
    <t xml:space="preserve">Одержимость</t>
  </si>
  <si>
    <t xml:space="preserve">Реальные упыри</t>
  </si>
  <si>
    <t xml:space="preserve">Курьер</t>
  </si>
  <si>
    <t xml:space="preserve">Странники</t>
  </si>
  <si>
    <t xml:space="preserve">Кто я?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</si>
</sst>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m/d/yyyy\ h:mm:ss"/>
    <numFmt numFmtId="166" formatCode="General"/>
    <numFmt numFmtId="167" formatCode="m/d/yyyy\ h:mm"/>
    <numFmt numFmtId="168" formatCode="[h]:mm:ss"/>
    <numFmt numFmtId="169" formatCode="m/d/yyyy"/>
    <numFmt numFmtId="170" formatCode="@"/>
    <numFmt numFmtId="171" formatCode="mm/dd/yyyy\ h:mm"/>
    <numFmt numFmtId="172" formatCode="mm/dd/yyyy\ h:mm:ss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sz val="11"/>
      <color rgb="FF000000"/>
      <name val="Inconsolata"/>
      <family val="0"/>
      <charset val="1"/>
    </font>
    <font>
      <sz val="36"/>
      <name val="Cambria"/>
      <family val="0"/>
      <charset val="1"/>
    </font>
    <font>
      <sz val="18"/>
      <color rgb="FF000000"/>
      <name val="Roboto"/>
      <family val="2"/>
    </font>
    <font>
      <sz val="10"/>
      <color rgb="FF000000"/>
      <name val="Roboto"/>
      <family val="2"/>
    </font>
    <font>
      <sz val="10"/>
      <name val="Arial"/>
      <family val="2"/>
    </font>
    <font>
      <b val="true"/>
      <sz val="10"/>
      <color rgb="FF000000"/>
      <name val="Roboto"/>
      <family val="2"/>
    </font>
    <font>
      <u val="single"/>
      <sz val="11"/>
      <color rgb="FF0000FF"/>
      <name val="Arial"/>
      <family val="0"/>
      <charset val="1"/>
    </font>
    <font>
      <sz val="14"/>
      <name val="Times New Roman"/>
      <family val="0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CE8B2"/>
      </patternFill>
    </fill>
    <fill>
      <patternFill patternType="solid">
        <fgColor rgb="FFB6D7A8"/>
        <bgColor rgb="FFB7E1CD"/>
      </patternFill>
    </fill>
    <fill>
      <patternFill patternType="solid">
        <fgColor rgb="FFFFE599"/>
        <bgColor rgb="FFFCE8B2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DC3912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45" wrapText="false" indent="0" shrinkToFit="false"/>
      <protection locked="true" hidden="false"/>
    </xf>
    <xf numFmtId="171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9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9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9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>
          <bgColor rgb="FFB7E1CD"/>
        </patternFill>
      </fill>
    </dxf>
    <dxf>
      <fill>
        <patternFill>
          <bgColor rgb="FFF4C7C3"/>
        </patternFill>
      </fill>
    </dxf>
    <dxf>
      <fill>
        <patternFill>
          <bgColor rgb="FFFCE8B2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A2C4C9"/>
      <rgbColor rgb="FFA4C2F4"/>
      <rgbColor rgb="FF993366"/>
      <rgbColor rgb="FFFFE599"/>
      <rgbColor rgb="FFB6D7A8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4C7C3"/>
      <rgbColor rgb="FFB7E1CD"/>
      <rgbColor rgb="FFFCE8B2"/>
      <rgbColor rgb="FF9FC5E8"/>
      <rgbColor rgb="FFEA9999"/>
      <rgbColor rgb="FFB4A7D6"/>
      <rgbColor rgb="FFF9CB9C"/>
      <rgbColor rgb="FF3366CC"/>
      <rgbColor rgb="FF33CCCC"/>
      <rgbColor rgb="FF99CC00"/>
      <rgbColor rgb="FFFFCC00"/>
      <rgbColor rgb="FFFF9900"/>
      <rgbColor rgb="FFDC3912"/>
      <rgbColor rgb="FF4285F4"/>
      <rgbColor rgb="FFD5A6BD"/>
      <rgbColor rgb="FF003366"/>
      <rgbColor rgb="FF339966"/>
      <rgbColor rgb="FF003300"/>
      <rgbColor rgb="FF333300"/>
      <rgbColor rgb="FFB82E2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000000"/>
                </a:solidFill>
                <a:latin typeface="Roboto"/>
              </a:defRPr>
            </a:pPr>
            <a:r>
              <a:rPr b="0" sz="1800" spc="-1" strike="noStrike">
                <a:solidFill>
                  <a:srgbClr val="000000"/>
                </a:solidFill>
                <a:latin typeface="Roboto"/>
              </a:rPr>
              <a:t>Распределение по классам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3366cc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Картинки!$A$1:$A$6</c:f>
              <c:strCache>
                <c:ptCount val="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</c:strCache>
            </c:strRef>
          </c:cat>
          <c:val>
            <c:numRef>
              <c:f>Картинки!$B$1:$B$6</c:f>
              <c:numCache>
                <c:formatCode>General</c:formatCode>
                <c:ptCount val="6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10</c:v>
                </c:pt>
                <c:pt idx="4">
                  <c:v>5</c:v>
                </c:pt>
                <c:pt idx="5">
                  <c:v>0</c:v>
                </c:pt>
              </c:numCache>
            </c:numRef>
          </c:val>
        </c:ser>
        <c:gapWidth val="150"/>
        <c:overlap val="0"/>
        <c:axId val="67752623"/>
        <c:axId val="69641716"/>
      </c:barChart>
      <c:catAx>
        <c:axId val="6775262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Roboto"/>
              </a:defRPr>
            </a:pPr>
          </a:p>
        </c:txPr>
        <c:crossAx val="69641716"/>
        <c:crosses val="autoZero"/>
        <c:auto val="1"/>
        <c:lblAlgn val="ctr"/>
        <c:lblOffset val="100"/>
        <c:noMultiLvlLbl val="0"/>
      </c:catAx>
      <c:valAx>
        <c:axId val="69641716"/>
        <c:scaling>
          <c:orientation val="minMax"/>
        </c:scaling>
        <c:delete val="0"/>
        <c:axPos val="l"/>
        <c:majorGridlines>
          <c:spPr>
            <a:ln w="0">
              <a:solidFill>
                <a:srgbClr val="b7b7b7"/>
              </a:solidFill>
            </a:ln>
          </c:spPr>
        </c:majorGridlines>
        <c:numFmt formatCode="General" sourceLinked="0"/>
        <c:majorTickMark val="none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Roboto"/>
              </a:defRPr>
            </a:pPr>
          </a:p>
        </c:txPr>
        <c:crossAx val="67752623"/>
        <c:crosses val="autoZero"/>
        <c:crossBetween val="between"/>
      </c:valAx>
      <c:spPr>
        <a:noFill/>
        <a:ln w="0">
          <a:noFill/>
        </a:ln>
      </c:spPr>
    </c:plotArea>
    <c:plotVisOnly val="1"/>
    <c:dispBlanksAs val="zero"/>
  </c:chart>
  <c:spPr>
    <a:noFill/>
    <a:ln w="9360">
      <a:solidFill>
        <a:srgbClr val="d9d9d9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000000"/>
                </a:solidFill>
                <a:latin typeface="Roboto"/>
              </a:defRPr>
            </a:pPr>
            <a:r>
              <a:rPr b="0" sz="1800" spc="-1" strike="noStrike">
                <a:solidFill>
                  <a:srgbClr val="000000"/>
                </a:solidFill>
                <a:latin typeface="Roboto"/>
              </a:rPr>
              <a:t>Число регистраций 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Картинки!$B$15</c:f>
              <c:strCache>
                <c:ptCount val="1"/>
                <c:pt idx="0">
                  <c:v>В день</c:v>
                </c:pt>
              </c:strCache>
            </c:strRef>
          </c:tx>
          <c:spPr>
            <a:solidFill>
              <a:srgbClr val="3366cc"/>
            </a:solidFill>
            <a:ln w="0">
              <a:solidFill>
                <a:srgbClr val="3366cc"/>
              </a:solidFill>
            </a:ln>
          </c:spPr>
          <c:marker>
            <c:symbol val="circle"/>
            <c:size val="4"/>
            <c:spPr>
              <a:solidFill>
                <a:srgbClr val="3366cc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Картинки!$A$16:$A$71</c:f>
              <c:strCache>
                <c:ptCount val="56"/>
                <c:pt idx="0">
                  <c:v>4/28/2018</c:v>
                </c:pt>
                <c:pt idx="1">
                  <c:v>4/29/2018</c:v>
                </c:pt>
                <c:pt idx="2">
                  <c:v>4/30/2018</c:v>
                </c:pt>
                <c:pt idx="3">
                  <c:v>5/1/2018</c:v>
                </c:pt>
                <c:pt idx="4">
                  <c:v>5/2/2018</c:v>
                </c:pt>
                <c:pt idx="5">
                  <c:v>5/3/2018</c:v>
                </c:pt>
                <c:pt idx="6">
                  <c:v>5/4/2018</c:v>
                </c:pt>
                <c:pt idx="7">
                  <c:v>5/5/2018</c:v>
                </c:pt>
                <c:pt idx="8">
                  <c:v>5/6/2018</c:v>
                </c:pt>
                <c:pt idx="9">
                  <c:v>5/7/2018</c:v>
                </c:pt>
                <c:pt idx="10">
                  <c:v>5/8/2018</c:v>
                </c:pt>
                <c:pt idx="11">
                  <c:v>5/9/2018</c:v>
                </c:pt>
                <c:pt idx="12">
                  <c:v>5/10/2018</c:v>
                </c:pt>
                <c:pt idx="13">
                  <c:v>5/11/2018</c:v>
                </c:pt>
                <c:pt idx="14">
                  <c:v>5/12/2018</c:v>
                </c:pt>
                <c:pt idx="15">
                  <c:v>5/13/2018</c:v>
                </c:pt>
                <c:pt idx="16">
                  <c:v>5/14/2018</c:v>
                </c:pt>
                <c:pt idx="17">
                  <c:v>5/15/2018</c:v>
                </c:pt>
                <c:pt idx="18">
                  <c:v>5/16/2018</c:v>
                </c:pt>
                <c:pt idx="19">
                  <c:v>5/17/2018</c:v>
                </c:pt>
                <c:pt idx="20">
                  <c:v>5/18/2018</c:v>
                </c:pt>
                <c:pt idx="21">
                  <c:v>5/19/2018</c:v>
                </c:pt>
                <c:pt idx="22">
                  <c:v>5/20/2018</c:v>
                </c:pt>
                <c:pt idx="23">
                  <c:v>5/21/2018</c:v>
                </c:pt>
                <c:pt idx="24">
                  <c:v>5/22/2018</c:v>
                </c:pt>
                <c:pt idx="25">
                  <c:v>5/23/2018</c:v>
                </c:pt>
                <c:pt idx="26">
                  <c:v>5/24/2018</c:v>
                </c:pt>
                <c:pt idx="27">
                  <c:v>5/25/2018</c:v>
                </c:pt>
                <c:pt idx="28">
                  <c:v>5/26/2018</c:v>
                </c:pt>
                <c:pt idx="29">
                  <c:v>5/27/2018</c:v>
                </c:pt>
                <c:pt idx="30">
                  <c:v>5/28/2018</c:v>
                </c:pt>
                <c:pt idx="31">
                  <c:v>5/29/2018</c:v>
                </c:pt>
                <c:pt idx="32">
                  <c:v>5/30/2018</c:v>
                </c:pt>
                <c:pt idx="33">
                  <c:v>5/31/2018</c:v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</c:strCache>
            </c:strRef>
          </c:cat>
          <c:val>
            <c:numRef>
              <c:f>Картинки!$B$16:$B$71</c:f>
              <c:numCache>
                <c:formatCode>General</c:formatCode>
                <c:ptCount val="56"/>
                <c:pt idx="0">
                  <c:v>0</c:v>
                </c:pt>
                <c:pt idx="1">
                  <c:v>166</c:v>
                </c:pt>
                <c:pt idx="2">
                  <c:v>166</c:v>
                </c:pt>
                <c:pt idx="3">
                  <c:v>166</c:v>
                </c:pt>
                <c:pt idx="4">
                  <c:v>166</c:v>
                </c:pt>
                <c:pt idx="5">
                  <c:v>166</c:v>
                </c:pt>
                <c:pt idx="6">
                  <c:v>166</c:v>
                </c:pt>
                <c:pt idx="7">
                  <c:v>166</c:v>
                </c:pt>
                <c:pt idx="8">
                  <c:v>166</c:v>
                </c:pt>
                <c:pt idx="9">
                  <c:v>166</c:v>
                </c:pt>
                <c:pt idx="10">
                  <c:v>166</c:v>
                </c:pt>
                <c:pt idx="11">
                  <c:v>166</c:v>
                </c:pt>
                <c:pt idx="12">
                  <c:v>166</c:v>
                </c:pt>
                <c:pt idx="13">
                  <c:v>166</c:v>
                </c:pt>
                <c:pt idx="14">
                  <c:v>166</c:v>
                </c:pt>
                <c:pt idx="15">
                  <c:v>166</c:v>
                </c:pt>
                <c:pt idx="16">
                  <c:v>166</c:v>
                </c:pt>
                <c:pt idx="17">
                  <c:v>166</c:v>
                </c:pt>
                <c:pt idx="18">
                  <c:v>166</c:v>
                </c:pt>
                <c:pt idx="19">
                  <c:v>166</c:v>
                </c:pt>
                <c:pt idx="20">
                  <c:v>166</c:v>
                </c:pt>
                <c:pt idx="21">
                  <c:v>166</c:v>
                </c:pt>
                <c:pt idx="22">
                  <c:v>166</c:v>
                </c:pt>
                <c:pt idx="23">
                  <c:v>166</c:v>
                </c:pt>
                <c:pt idx="24">
                  <c:v>166</c:v>
                </c:pt>
                <c:pt idx="25">
                  <c:v>166</c:v>
                </c:pt>
                <c:pt idx="26">
                  <c:v>166</c:v>
                </c:pt>
                <c:pt idx="27">
                  <c:v>166</c:v>
                </c:pt>
                <c:pt idx="28">
                  <c:v>166</c:v>
                </c:pt>
                <c:pt idx="29">
                  <c:v>166</c:v>
                </c:pt>
                <c:pt idx="30">
                  <c:v>166</c:v>
                </c:pt>
                <c:pt idx="31">
                  <c:v>166</c:v>
                </c:pt>
                <c:pt idx="32">
                  <c:v>166</c:v>
                </c:pt>
                <c:pt idx="33">
                  <c:v>166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Картинки!$C$15</c:f>
              <c:strCache>
                <c:ptCount val="1"/>
                <c:pt idx="0">
                  <c:v>Кумулятивно</c:v>
                </c:pt>
              </c:strCache>
            </c:strRef>
          </c:tx>
          <c:spPr>
            <a:solidFill>
              <a:srgbClr val="dc3912"/>
            </a:solidFill>
            <a:ln w="0">
              <a:solidFill>
                <a:srgbClr val="dc3912"/>
              </a:solidFill>
            </a:ln>
          </c:spPr>
          <c:marker>
            <c:symbol val="circle"/>
            <c:size val="4"/>
            <c:spPr>
              <a:solidFill>
                <a:srgbClr val="dc3912"/>
              </a:solidFill>
            </c:spPr>
          </c:marker>
          <c:dLbls>
            <c:numFmt formatCode="General" sourceLinked="1"/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Картинки!$A$16:$A$71</c:f>
              <c:strCache>
                <c:ptCount val="56"/>
                <c:pt idx="0">
                  <c:v>4/28/2018</c:v>
                </c:pt>
                <c:pt idx="1">
                  <c:v>4/29/2018</c:v>
                </c:pt>
                <c:pt idx="2">
                  <c:v>4/30/2018</c:v>
                </c:pt>
                <c:pt idx="3">
                  <c:v>5/1/2018</c:v>
                </c:pt>
                <c:pt idx="4">
                  <c:v>5/2/2018</c:v>
                </c:pt>
                <c:pt idx="5">
                  <c:v>5/3/2018</c:v>
                </c:pt>
                <c:pt idx="6">
                  <c:v>5/4/2018</c:v>
                </c:pt>
                <c:pt idx="7">
                  <c:v>5/5/2018</c:v>
                </c:pt>
                <c:pt idx="8">
                  <c:v>5/6/2018</c:v>
                </c:pt>
                <c:pt idx="9">
                  <c:v>5/7/2018</c:v>
                </c:pt>
                <c:pt idx="10">
                  <c:v>5/8/2018</c:v>
                </c:pt>
                <c:pt idx="11">
                  <c:v>5/9/2018</c:v>
                </c:pt>
                <c:pt idx="12">
                  <c:v>5/10/2018</c:v>
                </c:pt>
                <c:pt idx="13">
                  <c:v>5/11/2018</c:v>
                </c:pt>
                <c:pt idx="14">
                  <c:v>5/12/2018</c:v>
                </c:pt>
                <c:pt idx="15">
                  <c:v>5/13/2018</c:v>
                </c:pt>
                <c:pt idx="16">
                  <c:v>5/14/2018</c:v>
                </c:pt>
                <c:pt idx="17">
                  <c:v>5/15/2018</c:v>
                </c:pt>
                <c:pt idx="18">
                  <c:v>5/16/2018</c:v>
                </c:pt>
                <c:pt idx="19">
                  <c:v>5/17/2018</c:v>
                </c:pt>
                <c:pt idx="20">
                  <c:v>5/18/2018</c:v>
                </c:pt>
                <c:pt idx="21">
                  <c:v>5/19/2018</c:v>
                </c:pt>
                <c:pt idx="22">
                  <c:v>5/20/2018</c:v>
                </c:pt>
                <c:pt idx="23">
                  <c:v>5/21/2018</c:v>
                </c:pt>
                <c:pt idx="24">
                  <c:v>5/22/2018</c:v>
                </c:pt>
                <c:pt idx="25">
                  <c:v>5/23/2018</c:v>
                </c:pt>
                <c:pt idx="26">
                  <c:v>5/24/2018</c:v>
                </c:pt>
                <c:pt idx="27">
                  <c:v>5/25/2018</c:v>
                </c:pt>
                <c:pt idx="28">
                  <c:v>5/26/2018</c:v>
                </c:pt>
                <c:pt idx="29">
                  <c:v>5/27/2018</c:v>
                </c:pt>
                <c:pt idx="30">
                  <c:v>5/28/2018</c:v>
                </c:pt>
                <c:pt idx="31">
                  <c:v>5/29/2018</c:v>
                </c:pt>
                <c:pt idx="32">
                  <c:v>5/30/2018</c:v>
                </c:pt>
                <c:pt idx="33">
                  <c:v>5/31/2018</c:v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</c:strCache>
            </c:strRef>
          </c:cat>
          <c:val>
            <c:numRef>
              <c:f>Картинки!$C$16:$C$71</c:f>
              <c:numCache>
                <c:formatCode>General</c:formatCode>
                <c:ptCount val="56"/>
                <c:pt idx="0">
                  <c:v>0</c:v>
                </c:pt>
                <c:pt idx="1">
                  <c:v>166</c:v>
                </c:pt>
                <c:pt idx="2">
                  <c:v>332</c:v>
                </c:pt>
                <c:pt idx="3">
                  <c:v>498</c:v>
                </c:pt>
                <c:pt idx="4">
                  <c:v>664</c:v>
                </c:pt>
                <c:pt idx="5">
                  <c:v>830</c:v>
                </c:pt>
                <c:pt idx="6">
                  <c:v>996</c:v>
                </c:pt>
                <c:pt idx="7">
                  <c:v>1162</c:v>
                </c:pt>
                <c:pt idx="8">
                  <c:v>1328</c:v>
                </c:pt>
                <c:pt idx="9">
                  <c:v>1494</c:v>
                </c:pt>
                <c:pt idx="10">
                  <c:v>1660</c:v>
                </c:pt>
                <c:pt idx="11">
                  <c:v>1826</c:v>
                </c:pt>
                <c:pt idx="12">
                  <c:v>1992</c:v>
                </c:pt>
                <c:pt idx="13">
                  <c:v>2158</c:v>
                </c:pt>
                <c:pt idx="14">
                  <c:v>2324</c:v>
                </c:pt>
                <c:pt idx="15">
                  <c:v>2490</c:v>
                </c:pt>
                <c:pt idx="16">
                  <c:v>2656</c:v>
                </c:pt>
                <c:pt idx="17">
                  <c:v>2822</c:v>
                </c:pt>
                <c:pt idx="18">
                  <c:v>2988</c:v>
                </c:pt>
                <c:pt idx="19">
                  <c:v>3154</c:v>
                </c:pt>
                <c:pt idx="20">
                  <c:v>3320</c:v>
                </c:pt>
                <c:pt idx="21">
                  <c:v>3486</c:v>
                </c:pt>
                <c:pt idx="22">
                  <c:v>3652</c:v>
                </c:pt>
                <c:pt idx="23">
                  <c:v>3818</c:v>
                </c:pt>
                <c:pt idx="24">
                  <c:v>3984</c:v>
                </c:pt>
                <c:pt idx="25">
                  <c:v>4150</c:v>
                </c:pt>
                <c:pt idx="26">
                  <c:v>4316</c:v>
                </c:pt>
                <c:pt idx="27">
                  <c:v>4482</c:v>
                </c:pt>
                <c:pt idx="28">
                  <c:v>4648</c:v>
                </c:pt>
                <c:pt idx="29">
                  <c:v>4814</c:v>
                </c:pt>
                <c:pt idx="30">
                  <c:v>4980</c:v>
                </c:pt>
                <c:pt idx="31">
                  <c:v>5146</c:v>
                </c:pt>
                <c:pt idx="32">
                  <c:v>5312</c:v>
                </c:pt>
                <c:pt idx="33">
                  <c:v>5478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22687835"/>
        <c:axId val="75696497"/>
      </c:lineChart>
      <c:catAx>
        <c:axId val="2268783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Roboto"/>
              </a:defRPr>
            </a:pPr>
          </a:p>
        </c:txPr>
        <c:crossAx val="75696497"/>
        <c:crosses val="autoZero"/>
        <c:auto val="1"/>
        <c:lblAlgn val="ctr"/>
        <c:lblOffset val="100"/>
        <c:noMultiLvlLbl val="0"/>
      </c:catAx>
      <c:valAx>
        <c:axId val="75696497"/>
        <c:scaling>
          <c:orientation val="minMax"/>
        </c:scaling>
        <c:delete val="0"/>
        <c:axPos val="l"/>
        <c:majorGridlines>
          <c:spPr>
            <a:ln w="0">
              <a:solidFill>
                <a:srgbClr val="b7b7b7"/>
              </a:solidFill>
            </a:ln>
          </c:spPr>
        </c:majorGridlines>
        <c:numFmt formatCode="General" sourceLinked="0"/>
        <c:majorTickMark val="none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Roboto"/>
              </a:defRPr>
            </a:pPr>
          </a:p>
        </c:txPr>
        <c:crossAx val="22687835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Roboto"/>
            </a:defRPr>
          </a:pPr>
        </a:p>
      </c:txPr>
    </c:legend>
    <c:plotVisOnly val="1"/>
    <c:dispBlanksAs val="zero"/>
  </c:chart>
  <c:spPr>
    <a:noFill/>
    <a:ln w="9360">
      <a:solidFill>
        <a:srgbClr val="d9d9d9"/>
      </a:solidFill>
      <a:round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000000"/>
                </a:solidFill>
                <a:latin typeface="Roboto"/>
              </a:defRPr>
            </a:pPr>
            <a:r>
              <a:rPr b="0" sz="1800" spc="-1" strike="noStrike">
                <a:solidFill>
                  <a:srgbClr val="000000"/>
                </a:solidFill>
                <a:latin typeface="Roboto"/>
              </a:rPr>
              <a:t>Старички и новички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doughnutChart>
        <c:varyColors val="1"/>
        <c:ser>
          <c:idx val="0"/>
          <c:order val="0"/>
          <c:spPr>
            <a:noFill/>
            <a:ln w="0">
              <a:noFill/>
            </a:ln>
          </c:spPr>
          <c:explosion val="0"/>
          <c:dPt>
            <c:idx val="0"/>
            <c:spPr>
              <a:solidFill>
                <a:srgbClr val="a4c2f4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e599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Картинки!$J$16:$J$17</c:f>
              <c:strCache>
                <c:ptCount val="2"/>
                <c:pt idx="0">
                  <c:v>Старички</c:v>
                </c:pt>
                <c:pt idx="1">
                  <c:v>Новички</c:v>
                </c:pt>
              </c:strCache>
            </c:strRef>
          </c:cat>
          <c:val>
            <c:numRef>
              <c:f>Картинки!$K$16:$K$17</c:f>
              <c:numCache>
                <c:formatCode>General</c:formatCode>
                <c:ptCount val="2"/>
                <c:pt idx="0">
                  <c:v>50</c:v>
                </c:pt>
                <c:pt idx="1">
                  <c:v>121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1" sz="1000" spc="-1" strike="noStrike">
              <a:solidFill>
                <a:srgbClr val="000000"/>
              </a:solidFill>
              <a:latin typeface="Roboto"/>
            </a:defRPr>
          </a:pPr>
        </a:p>
      </c:txPr>
    </c:legend>
    <c:plotVisOnly val="1"/>
    <c:dispBlanksAs val="zero"/>
  </c:chart>
  <c:spPr>
    <a:noFill/>
    <a:ln w="9360">
      <a:solidFill>
        <a:srgbClr val="d9d9d9"/>
      </a:solidFill>
      <a:round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000000"/>
                </a:solidFill>
                <a:latin typeface="Roboto"/>
              </a:defRPr>
            </a:pPr>
            <a:r>
              <a:rPr b="0" sz="1800" spc="-1" strike="noStrike">
                <a:solidFill>
                  <a:srgbClr val="000000"/>
                </a:solidFill>
                <a:latin typeface="Roboto"/>
              </a:rPr>
              <a:t>Распределение по школам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doughnutChart>
        <c:varyColors val="1"/>
        <c:ser>
          <c:idx val="0"/>
          <c:order val="0"/>
          <c:spPr>
            <a:noFill/>
            <a:ln w="0">
              <a:noFill/>
            </a:ln>
          </c:spPr>
          <c:explosion val="0"/>
          <c:dPt>
            <c:idx val="0"/>
            <c:spPr>
              <a:solidFill>
                <a:srgbClr val="9fc5e8"/>
              </a:solidFill>
              <a:ln w="0">
                <a:noFill/>
              </a:ln>
            </c:spPr>
          </c:dPt>
          <c:dPt>
            <c:idx val="1"/>
            <c:spPr>
              <a:solidFill>
                <a:srgbClr val="ea9999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9cb9c"/>
              </a:solidFill>
              <a:ln w="0">
                <a:noFill/>
              </a:ln>
            </c:spPr>
          </c:dPt>
          <c:dPt>
            <c:idx val="3"/>
            <c:spPr>
              <a:solidFill>
                <a:srgbClr val="b6d7a8"/>
              </a:solidFill>
              <a:ln w="0">
                <a:noFill/>
              </a:ln>
            </c:spPr>
          </c:dPt>
          <c:dPt>
            <c:idx val="4"/>
            <c:spPr>
              <a:solidFill>
                <a:srgbClr val="b4a7d6"/>
              </a:solidFill>
              <a:ln w="0">
                <a:noFill/>
              </a:ln>
            </c:spPr>
          </c:dPt>
          <c:dPt>
            <c:idx val="5"/>
            <c:spPr>
              <a:solidFill>
                <a:srgbClr val="a2c4c9"/>
              </a:solidFill>
              <a:ln w="0">
                <a:noFill/>
              </a:ln>
            </c:spPr>
          </c:dPt>
          <c:dPt>
            <c:idx val="6"/>
            <c:spPr>
              <a:solidFill>
                <a:srgbClr val="d5a6bd"/>
              </a:solidFill>
              <a:ln w="0">
                <a:noFill/>
              </a:ln>
            </c:spPr>
          </c:dPt>
          <c:dPt>
            <c:idx val="7"/>
            <c:spPr>
              <a:solidFill>
                <a:srgbClr val="b6d7a8"/>
              </a:solidFill>
              <a:ln w="0">
                <a:noFill/>
              </a:ln>
            </c:spPr>
          </c:dPt>
          <c:dPt>
            <c:idx val="8"/>
            <c:spPr>
              <a:solidFill>
                <a:srgbClr val="b82e2e"/>
              </a:solidFill>
              <a:ln w="0">
                <a:noFill/>
              </a:ln>
            </c:spPr>
          </c:dPt>
          <c:dPt>
            <c:idx val="9"/>
            <c:spPr>
              <a:noFill/>
              <a:ln w="0">
                <a:noFill/>
              </a:ln>
            </c:spPr>
          </c:dPt>
          <c:dPt>
            <c:idx val="10"/>
            <c:spPr>
              <a:noFill/>
              <a:ln w="0">
                <a:noFill/>
              </a:ln>
            </c:spPr>
          </c:dPt>
          <c:dPt>
            <c:idx val="11"/>
            <c:spPr>
              <a:noFill/>
              <a:ln w="0">
                <a:noFill/>
              </a:ln>
            </c:spPr>
          </c:dPt>
          <c:dPt>
            <c:idx val="12"/>
            <c:spPr>
              <a:noFill/>
              <a:ln w="0">
                <a:noFill/>
              </a:ln>
            </c:spPr>
          </c:dPt>
          <c:dPt>
            <c:idx val="13"/>
            <c:spPr>
              <a:noFill/>
              <a:ln w="0">
                <a:noFill/>
              </a:ln>
            </c:spPr>
          </c:dPt>
          <c:dPt>
            <c:idx val="14"/>
            <c:spPr>
              <a:noFill/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8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9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0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2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3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4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Картинки!$H$1:$H$15</c:f>
              <c:strCache>
                <c:ptCount val="15"/>
                <c:pt idx="0">
                  <c:v>117</c:v>
                </c:pt>
                <c:pt idx="1">
                  <c:v>149</c:v>
                </c:pt>
                <c:pt idx="2">
                  <c:v>64</c:v>
                </c:pt>
                <c:pt idx="3">
                  <c:v>66</c:v>
                </c:pt>
                <c:pt idx="4">
                  <c:v>19</c:v>
                </c:pt>
                <c:pt idx="5">
                  <c:v>139</c:v>
                </c:pt>
                <c:pt idx="6">
                  <c:v>166</c:v>
                </c:pt>
                <c:pt idx="7">
                  <c:v>115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>остальные</c:v>
                </c:pt>
              </c:strCache>
            </c:strRef>
          </c:cat>
          <c:val>
            <c:numRef>
              <c:f>Картинки!$I$1:$I$15</c:f>
              <c:numCache>
                <c:formatCode>General</c:formatCode>
                <c:ptCount val="15"/>
                <c:pt idx="14">
                  <c:v>-135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1" sz="1000" spc="-1" strike="noStrike">
              <a:solidFill>
                <a:srgbClr val="000000"/>
              </a:solidFill>
              <a:latin typeface="Roboto"/>
            </a:defRPr>
          </a:pPr>
        </a:p>
      </c:txPr>
    </c:legend>
    <c:plotVisOnly val="1"/>
    <c:dispBlanksAs val="zero"/>
  </c:chart>
  <c:spPr>
    <a:noFill/>
    <a:ln w="9360">
      <a:solidFill>
        <a:srgbClr val="d9d9d9"/>
      </a:solidFill>
      <a:round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000000"/>
                </a:solidFill>
                <a:latin typeface="Roboto"/>
              </a:defRPr>
            </a:pPr>
            <a:r>
              <a:rPr b="0" sz="1800" spc="-1" strike="noStrike">
                <a:solidFill>
                  <a:srgbClr val="000000"/>
                </a:solidFill>
                <a:latin typeface="Roboto"/>
              </a:rPr>
              <a:t>Точность бытия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doughnutChart>
        <c:varyColors val="1"/>
        <c:ser>
          <c:idx val="0"/>
          <c:order val="0"/>
          <c:spPr>
            <a:noFill/>
            <a:ln w="0">
              <a:noFill/>
            </a:ln>
          </c:spPr>
          <c:explosion val="0"/>
          <c:dPt>
            <c:idx val="0"/>
            <c:spPr>
              <a:solidFill>
                <a:srgbClr val="ea9999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e599"/>
              </a:solidFill>
              <a:ln w="0">
                <a:noFill/>
              </a:ln>
            </c:spPr>
          </c:dPt>
          <c:dPt>
            <c:idx val="2"/>
            <c:spPr>
              <a:solidFill>
                <a:srgbClr val="9fc5e8"/>
              </a:solidFill>
              <a:ln w="0">
                <a:noFill/>
              </a:ln>
            </c:spPr>
          </c:dPt>
          <c:dPt>
            <c:idx val="3"/>
            <c:spPr>
              <a:solidFill>
                <a:srgbClr val="b6d7a8"/>
              </a:solidFill>
              <a:ln w="0">
                <a:noFill/>
              </a:ln>
            </c:spPr>
          </c:dPt>
          <c:dPt>
            <c:idx val="4"/>
            <c:spPr>
              <a:noFill/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Картинки!$D$35:$D$38</c:f>
              <c:strCache>
                <c:ptCount val="4"/>
                <c:pt idx="0">
                  <c:v>не будет</c:v>
                </c:pt>
                <c:pt idx="1">
                  <c:v>не спрашивали</c:v>
                </c:pt>
                <c:pt idx="2">
                  <c:v>спросили</c:v>
                </c:pt>
                <c:pt idx="3">
                  <c:v>будет</c:v>
                </c:pt>
              </c:strCache>
            </c:strRef>
          </c:cat>
          <c:val>
            <c:numRef>
              <c:f>Картинки!$F$35:$F$39</c:f>
              <c:numCache>
                <c:formatCode>General</c:formatCode>
                <c:ptCount val="5"/>
                <c:pt idx="0">
                  <c:v>16</c:v>
                </c:pt>
                <c:pt idx="1">
                  <c:v>0</c:v>
                </c:pt>
                <c:pt idx="2">
                  <c:v>8</c:v>
                </c:pt>
                <c:pt idx="3">
                  <c:v>147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1" sz="1000" spc="-1" strike="noStrike">
              <a:solidFill>
                <a:srgbClr val="000000"/>
              </a:solidFill>
              <a:latin typeface="Roboto"/>
            </a:defRPr>
          </a:pPr>
        </a:p>
      </c:txPr>
    </c:legend>
    <c:plotVisOnly val="1"/>
    <c:dispBlanksAs val="zero"/>
  </c:chart>
  <c:spPr>
    <a:noFill/>
    <a:ln w="9360">
      <a:solidFill>
        <a:srgbClr val="d9d9d9"/>
      </a:solidFill>
      <a:round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000000"/>
                </a:solidFill>
                <a:latin typeface="Roboto"/>
              </a:defRPr>
            </a:pPr>
            <a:r>
              <a:rPr b="0" sz="1800" spc="-1" strike="noStrike">
                <a:solidFill>
                  <a:srgbClr val="000000"/>
                </a:solidFill>
                <a:latin typeface="Roboto"/>
              </a:rPr>
              <a:t>Охват старой аудитории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doughnutChart>
        <c:varyColors val="1"/>
        <c:ser>
          <c:idx val="0"/>
          <c:order val="0"/>
          <c:spPr>
            <a:noFill/>
            <a:ln w="0">
              <a:noFill/>
            </a:ln>
          </c:spPr>
          <c:explosion val="0"/>
          <c:dPt>
            <c:idx val="0"/>
            <c:spPr>
              <a:solidFill>
                <a:srgbClr val="a4c2f4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e599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'Список прошлого года'!$E$116:$E$117</c:f>
              <c:strCache>
                <c:ptCount val="2"/>
                <c:pt idx="0">
                  <c:v>Продолжающие</c:v>
                </c:pt>
                <c:pt idx="1">
                  <c:v>Прекратившие</c:v>
                </c:pt>
              </c:strCache>
            </c:strRef>
          </c:cat>
          <c:val>
            <c:numRef>
              <c:f>'Список прошлого года'!$F$116:$F$117</c:f>
              <c:numCache>
                <c:formatCode>General</c:formatCode>
                <c:ptCount val="2"/>
                <c:pt idx="0">
                  <c:v>50</c:v>
                </c:pt>
                <c:pt idx="1">
                  <c:v>62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1" sz="1000" spc="-1" strike="noStrike">
              <a:solidFill>
                <a:srgbClr val="000000"/>
              </a:solidFill>
              <a:latin typeface="Roboto"/>
            </a:defRPr>
          </a:pPr>
        </a:p>
      </c:txPr>
    </c:legend>
    <c:plotVisOnly val="1"/>
    <c:dispBlanksAs val="zero"/>
  </c:chart>
  <c:spPr>
    <a:noFill/>
    <a:ln w="9360">
      <a:solidFill>
        <a:srgbClr val="d9d9d9"/>
      </a:solidFill>
      <a:round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bar"/>
        <c:grouping val="clustered"/>
        <c:varyColors val="0"/>
        <c:ser>
          <c:idx val="0"/>
          <c:order val="0"/>
          <c:spPr>
            <a:solidFill>
              <a:srgbClr val="4285f4"/>
            </a:solidFill>
            <a:ln w="0">
              <a:solidFill>
                <a:srgbClr val="000000"/>
              </a:solidFill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'Кино результат'!$G$5:$G$19</c:f>
              <c:strCache>
                <c:ptCount val="15"/>
                <c:pt idx="0">
                  <c:v>Доктор Стрейнджлав, или Как я научился не волноваться и полюбил атомную бомбу</c:v>
                </c:pt>
                <c:pt idx="1">
                  <c:v>Последний самурай</c:v>
                </c:pt>
                <c:pt idx="2">
                  <c:v>Дурак</c:v>
                </c:pt>
                <c:pt idx="3">
                  <c:v>Гаттака</c:v>
                </c:pt>
                <c:pt idx="4">
                  <c:v>Дюнкерк</c:v>
                </c:pt>
                <c:pt idx="5">
                  <c:v>Девять</c:v>
                </c:pt>
                <c:pt idx="6">
                  <c:v>Кейт и Лео</c:v>
                </c:pt>
                <c:pt idx="7">
                  <c:v>Тайна Коко</c:v>
                </c:pt>
                <c:pt idx="8">
                  <c:v>Мне бы в небо</c:v>
                </c:pt>
                <c:pt idx="9">
                  <c:v>Одержимость</c:v>
                </c:pt>
                <c:pt idx="10">
                  <c:v>Реальные упыри</c:v>
                </c:pt>
                <c:pt idx="11">
                  <c:v>Курьер</c:v>
                </c:pt>
                <c:pt idx="12">
                  <c:v>Странники</c:v>
                </c:pt>
                <c:pt idx="13">
                  <c:v>Величайший шоумен</c:v>
                </c:pt>
                <c:pt idx="14">
                  <c:v>Кто я?</c:v>
                </c:pt>
              </c:strCache>
            </c:strRef>
          </c:cat>
          <c:val>
            <c:numRef>
              <c:f>'Кино результат'!$H$5:$H$19</c:f>
              <c:numCache>
                <c:formatCode>General</c:formatCode>
                <c:ptCount val="15"/>
              </c:numCache>
            </c:numRef>
          </c:val>
        </c:ser>
        <c:gapWidth val="150"/>
        <c:overlap val="0"/>
        <c:axId val="66407742"/>
        <c:axId val="42861640"/>
      </c:barChart>
      <c:catAx>
        <c:axId val="66407742"/>
        <c:scaling>
          <c:orientation val="maxMin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Roboto"/>
              </a:defRPr>
            </a:pPr>
          </a:p>
        </c:txPr>
        <c:crossAx val="42861640"/>
        <c:crosses val="autoZero"/>
        <c:auto val="1"/>
        <c:lblAlgn val="ctr"/>
        <c:lblOffset val="100"/>
        <c:noMultiLvlLbl val="0"/>
      </c:catAx>
      <c:valAx>
        <c:axId val="42861640"/>
        <c:scaling>
          <c:orientation val="minMax"/>
        </c:scaling>
        <c:delete val="0"/>
        <c:axPos val="l"/>
        <c:majorGridlines>
          <c:spPr>
            <a:ln w="0">
              <a:solidFill>
                <a:srgbClr val="b7b7b7"/>
              </a:solidFill>
            </a:ln>
          </c:spPr>
        </c:majorGridlines>
        <c:numFmt formatCode="General" sourceLinked="0"/>
        <c:majorTickMark val="none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Roboto"/>
              </a:defRPr>
            </a:pPr>
          </a:p>
        </c:txPr>
        <c:crossAx val="66407742"/>
        <c:crosses val="max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Roboto"/>
            </a:defRPr>
          </a:pPr>
        </a:p>
      </c:txPr>
    </c:legend>
    <c:plotVisOnly val="1"/>
    <c:dispBlanksAs val="zero"/>
  </c:chart>
  <c:spPr>
    <a:noFill/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Relationship Id="rId4" Type="http://schemas.openxmlformats.org/officeDocument/2006/relationships/chart" Target="../charts/chart11.xml"/><Relationship Id="rId5" Type="http://schemas.openxmlformats.org/officeDocument/2006/relationships/chart" Target="../charts/chart1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952560</xdr:colOff>
      <xdr:row>0</xdr:row>
      <xdr:rowOff>0</xdr:rowOff>
    </xdr:from>
    <xdr:to>
      <xdr:col>6</xdr:col>
      <xdr:colOff>182160</xdr:colOff>
      <xdr:row>14</xdr:row>
      <xdr:rowOff>132840</xdr:rowOff>
    </xdr:to>
    <xdr:graphicFrame>
      <xdr:nvGraphicFramePr>
        <xdr:cNvPr id="0" name="Chart 1"/>
        <xdr:cNvGraphicFramePr/>
      </xdr:nvGraphicFramePr>
      <xdr:xfrm>
        <a:off x="1971720" y="0"/>
        <a:ext cx="4738680" cy="2932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942840</xdr:colOff>
      <xdr:row>14</xdr:row>
      <xdr:rowOff>152280</xdr:rowOff>
    </xdr:from>
    <xdr:to>
      <xdr:col>8</xdr:col>
      <xdr:colOff>135720</xdr:colOff>
      <xdr:row>32</xdr:row>
      <xdr:rowOff>84600</xdr:rowOff>
    </xdr:to>
    <xdr:graphicFrame>
      <xdr:nvGraphicFramePr>
        <xdr:cNvPr id="1" name="Chart 2"/>
        <xdr:cNvGraphicFramePr/>
      </xdr:nvGraphicFramePr>
      <xdr:xfrm>
        <a:off x="2981160" y="2952360"/>
        <a:ext cx="5721120" cy="353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114480</xdr:colOff>
      <xdr:row>17</xdr:row>
      <xdr:rowOff>38160</xdr:rowOff>
    </xdr:from>
    <xdr:to>
      <xdr:col>12</xdr:col>
      <xdr:colOff>774720</xdr:colOff>
      <xdr:row>30</xdr:row>
      <xdr:rowOff>199440</xdr:rowOff>
    </xdr:to>
    <xdr:graphicFrame>
      <xdr:nvGraphicFramePr>
        <xdr:cNvPr id="2" name="Chart 3"/>
        <xdr:cNvGraphicFramePr/>
      </xdr:nvGraphicFramePr>
      <xdr:xfrm>
        <a:off x="9700200" y="3438360"/>
        <a:ext cx="3717720" cy="2761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19080</xdr:colOff>
      <xdr:row>0</xdr:row>
      <xdr:rowOff>0</xdr:rowOff>
    </xdr:from>
    <xdr:to>
      <xdr:col>13</xdr:col>
      <xdr:colOff>614160</xdr:colOff>
      <xdr:row>14</xdr:row>
      <xdr:rowOff>75600</xdr:rowOff>
    </xdr:to>
    <xdr:graphicFrame>
      <xdr:nvGraphicFramePr>
        <xdr:cNvPr id="3" name="Chart 4"/>
        <xdr:cNvGraphicFramePr/>
      </xdr:nvGraphicFramePr>
      <xdr:xfrm>
        <a:off x="9604800" y="0"/>
        <a:ext cx="4671720" cy="287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76320</xdr:colOff>
      <xdr:row>33</xdr:row>
      <xdr:rowOff>85680</xdr:rowOff>
    </xdr:from>
    <xdr:to>
      <xdr:col>10</xdr:col>
      <xdr:colOff>680760</xdr:colOff>
      <xdr:row>47</xdr:row>
      <xdr:rowOff>180000</xdr:rowOff>
    </xdr:to>
    <xdr:graphicFrame>
      <xdr:nvGraphicFramePr>
        <xdr:cNvPr id="4" name="Chart 5"/>
        <xdr:cNvGraphicFramePr/>
      </xdr:nvGraphicFramePr>
      <xdr:xfrm>
        <a:off x="6604560" y="6686280"/>
        <a:ext cx="4681080" cy="2894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142920</xdr:colOff>
      <xdr:row>0</xdr:row>
      <xdr:rowOff>247680</xdr:rowOff>
    </xdr:from>
    <xdr:to>
      <xdr:col>17</xdr:col>
      <xdr:colOff>810360</xdr:colOff>
      <xdr:row>4</xdr:row>
      <xdr:rowOff>180720</xdr:rowOff>
    </xdr:to>
    <xdr:sp>
      <xdr:nvSpPr>
        <xdr:cNvPr id="5" name="Shape 3"/>
        <xdr:cNvSpPr/>
      </xdr:nvSpPr>
      <xdr:spPr>
        <a:xfrm>
          <a:off x="15087960" y="247680"/>
          <a:ext cx="1686600" cy="990000"/>
        </a:xfrm>
        <a:prstGeom prst="roundRect">
          <a:avLst>
            <a:gd name="adj" fmla="val 16667"/>
          </a:avLst>
        </a:prstGeom>
        <a:solidFill>
          <a:srgbClr val="cfe2f3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91440" bIns="9144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latin typeface="Times New Roman"/>
            </a:rPr>
            <a:t>Обновить значение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16</xdr:col>
      <xdr:colOff>162000</xdr:colOff>
      <xdr:row>4</xdr:row>
      <xdr:rowOff>76320</xdr:rowOff>
    </xdr:from>
    <xdr:to>
      <xdr:col>17</xdr:col>
      <xdr:colOff>829440</xdr:colOff>
      <xdr:row>9</xdr:row>
      <xdr:rowOff>65880</xdr:rowOff>
    </xdr:to>
    <xdr:sp>
      <xdr:nvSpPr>
        <xdr:cNvPr id="6" name="Shape 4"/>
        <xdr:cNvSpPr/>
      </xdr:nvSpPr>
      <xdr:spPr>
        <a:xfrm>
          <a:off x="15107040" y="1133280"/>
          <a:ext cx="1686600" cy="990000"/>
        </a:xfrm>
        <a:prstGeom prst="roundRect">
          <a:avLst>
            <a:gd name="adj" fmla="val 16667"/>
          </a:avLst>
        </a:prstGeom>
        <a:solidFill>
          <a:srgbClr val="f4cccc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91440" bIns="9144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latin typeface="Times New Roman"/>
            </a:rPr>
            <a:t>Обновить все значения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466560</xdr:colOff>
      <xdr:row>5</xdr:row>
      <xdr:rowOff>171360</xdr:rowOff>
    </xdr:from>
    <xdr:to>
      <xdr:col>5</xdr:col>
      <xdr:colOff>803160</xdr:colOff>
      <xdr:row>16</xdr:row>
      <xdr:rowOff>65880</xdr:rowOff>
    </xdr:to>
    <xdr:graphicFrame>
      <xdr:nvGraphicFramePr>
        <xdr:cNvPr id="7" name="Chart 6"/>
        <xdr:cNvGraphicFramePr/>
      </xdr:nvGraphicFramePr>
      <xdr:xfrm>
        <a:off x="2504880" y="1171440"/>
        <a:ext cx="3394080" cy="2094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638280</xdr:colOff>
      <xdr:row>19</xdr:row>
      <xdr:rowOff>162000</xdr:rowOff>
    </xdr:from>
    <xdr:to>
      <xdr:col>13</xdr:col>
      <xdr:colOff>567360</xdr:colOff>
      <xdr:row>37</xdr:row>
      <xdr:rowOff>94320</xdr:rowOff>
    </xdr:to>
    <xdr:graphicFrame>
      <xdr:nvGraphicFramePr>
        <xdr:cNvPr id="8" name="Chart 7"/>
        <xdr:cNvGraphicFramePr/>
      </xdr:nvGraphicFramePr>
      <xdr:xfrm>
        <a:off x="9868320" y="3962160"/>
        <a:ext cx="5719680" cy="353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_1" displayName="Table_1" ref="A2:M12" headerRowCount="0" totalsRowCount="0" totalsRowShown="0"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vk.com/agarbus2003" TargetMode="External"/><Relationship Id="rId3" Type="http://schemas.openxmlformats.org/officeDocument/2006/relationships/hyperlink" Target="https://vk.com/id243002488" TargetMode="External"/><Relationship Id="rId4" Type="http://schemas.openxmlformats.org/officeDocument/2006/relationships/hyperlink" Target="http://vk.com/kotyangensss" TargetMode="External"/><Relationship Id="rId5" Type="http://schemas.openxmlformats.org/officeDocument/2006/relationships/hyperlink" Target="http://vk.com/id206813526" TargetMode="External"/><Relationship Id="rId6" Type="http://schemas.openxmlformats.org/officeDocument/2006/relationships/hyperlink" Target="http://m.vk.com/djabella" TargetMode="External"/><Relationship Id="rId7" Type="http://schemas.openxmlformats.org/officeDocument/2006/relationships/hyperlink" Target="https://m.vk.com/id262530619" TargetMode="External"/><Relationship Id="rId8" Type="http://schemas.openxmlformats.org/officeDocument/2006/relationships/hyperlink" Target="https://vk.com/id316784802" TargetMode="External"/><Relationship Id="rId9" Type="http://schemas.openxmlformats.org/officeDocument/2006/relationships/hyperlink" Target="http://vk.com/lazarevtolyan" TargetMode="External"/><Relationship Id="rId10" Type="http://schemas.openxmlformats.org/officeDocument/2006/relationships/hyperlink" Target="http://vk.com/muravyeva2012" TargetMode="External"/><Relationship Id="rId11" Type="http://schemas.openxmlformats.org/officeDocument/2006/relationships/hyperlink" Target="http://vk.com/licharovski" TargetMode="External"/><Relationship Id="rId12" Type="http://schemas.openxmlformats.org/officeDocument/2006/relationships/hyperlink" Target="http://vk.com/maninthebluebox" TargetMode="External"/><Relationship Id="rId13" Type="http://schemas.openxmlformats.org/officeDocument/2006/relationships/hyperlink" Target="http://vk.com/sadmaris" TargetMode="External"/><Relationship Id="rId14" Type="http://schemas.openxmlformats.org/officeDocument/2006/relationships/hyperlink" Target="http://vk.com/mara.rina" TargetMode="External"/><Relationship Id="rId15" Type="http://schemas.openxmlformats.org/officeDocument/2006/relationships/hyperlink" Target="https://vk.com/id209670944" TargetMode="External"/><Relationship Id="rId16" Type="http://schemas.openxmlformats.org/officeDocument/2006/relationships/hyperlink" Target="https://vk.com/teemereva" TargetMode="External"/><Relationship Id="rId17" Type="http://schemas.openxmlformats.org/officeDocument/2006/relationships/hyperlink" Target="http://vk.com/loiwwer" TargetMode="External"/><Relationship Id="rId18" Type="http://schemas.openxmlformats.org/officeDocument/2006/relationships/hyperlink" Target="http://vk.com/leepsi" TargetMode="External"/><Relationship Id="rId19" Type="http://schemas.openxmlformats.org/officeDocument/2006/relationships/hyperlink" Target="https://vk.com/umnayshe4ka" TargetMode="External"/><Relationship Id="rId20" Type="http://schemas.openxmlformats.org/officeDocument/2006/relationships/hyperlink" Target="https://vk.com/id308817000" TargetMode="External"/><Relationship Id="rId21" Type="http://schemas.openxmlformats.org/officeDocument/2006/relationships/hyperlink" Target="http://vk.com/id183865528" TargetMode="External"/><Relationship Id="rId22" Type="http://schemas.openxmlformats.org/officeDocument/2006/relationships/hyperlink" Target="https://vk.com/lzheldak" TargetMode="External"/><Relationship Id="rId23" Type="http://schemas.openxmlformats.org/officeDocument/2006/relationships/hyperlink" Target="http://vk.com/zyymeboy" TargetMode="External"/><Relationship Id="rId24" Type="http://schemas.openxmlformats.org/officeDocument/2006/relationships/hyperlink" Target="https://vk.com/1rustim1" TargetMode="External"/><Relationship Id="rId25" Type="http://schemas.openxmlformats.org/officeDocument/2006/relationships/hyperlink" Target="http://vk.com/ijustwannahearyouscreamagain" TargetMode="External"/><Relationship Id="rId26" Type="http://schemas.openxmlformats.org/officeDocument/2006/relationships/hyperlink" Target="https://vk.com/timfencing" TargetMode="External"/><Relationship Id="rId27" Type="http://schemas.openxmlformats.org/officeDocument/2006/relationships/hyperlink" Target="http://vk.com/sykessad" TargetMode="External"/><Relationship Id="rId28" Type="http://schemas.openxmlformats.org/officeDocument/2006/relationships/hyperlink" Target="http://vk.com/sergey80401" TargetMode="External"/><Relationship Id="rId29" Type="http://schemas.openxmlformats.org/officeDocument/2006/relationships/hyperlink" Target="http://vk.com/sermon.kokosov" TargetMode="External"/><Relationship Id="rId30" Type="http://schemas.openxmlformats.org/officeDocument/2006/relationships/hyperlink" Target="http://vk.com/id270970940" TargetMode="External"/><Relationship Id="rId31" Type="http://schemas.openxmlformats.org/officeDocument/2006/relationships/hyperlink" Target="https://vk.com/jess41359473" TargetMode="External"/><Relationship Id="rId32" Type="http://schemas.openxmlformats.org/officeDocument/2006/relationships/hyperlink" Target="https://vk.com/mihagg1" TargetMode="External"/><Relationship Id="rId33" Type="http://schemas.openxmlformats.org/officeDocument/2006/relationships/hyperlink" Target="http://vk.com/siemens1337" TargetMode="External"/><Relationship Id="rId34" Type="http://schemas.openxmlformats.org/officeDocument/2006/relationships/hyperlink" Target="http://vk.com/loiwwer" TargetMode="External"/><Relationship Id="rId35" Type="http://schemas.openxmlformats.org/officeDocument/2006/relationships/hyperlink" Target="https://vk.com/shapebringer" TargetMode="External"/><Relationship Id="rId36" Type="http://schemas.openxmlformats.org/officeDocument/2006/relationships/hyperlink" Target="https://vk.com/malenkaia_esho" TargetMode="External"/><Relationship Id="rId37" Type="http://schemas.openxmlformats.org/officeDocument/2006/relationships/hyperlink" Target="https://vk.com/egorkaegorih" TargetMode="External"/><Relationship Id="rId38" Type="http://schemas.openxmlformats.org/officeDocument/2006/relationships/hyperlink" Target="https://vk.com/lexxandria" TargetMode="External"/><Relationship Id="rId39" Type="http://schemas.openxmlformats.org/officeDocument/2006/relationships/hyperlink" Target="https://vk.com/id324373436" TargetMode="External"/><Relationship Id="rId40" Type="http://schemas.openxmlformats.org/officeDocument/2006/relationships/hyperlink" Target="http://vk.com/sergey80401" TargetMode="External"/><Relationship Id="rId41" Type="http://schemas.openxmlformats.org/officeDocument/2006/relationships/hyperlink" Target="https://m.vk.com/evlgenius" TargetMode="External"/><Relationship Id="rId42" Type="http://schemas.openxmlformats.org/officeDocument/2006/relationships/hyperlink" Target="https://vk.com/1rustim1" TargetMode="External"/><Relationship Id="rId43" Type="http://schemas.openxmlformats.org/officeDocument/2006/relationships/hyperlink" Target="https://vk.com/liub04ka" TargetMode="External"/><Relationship Id="rId44" Type="http://schemas.openxmlformats.org/officeDocument/2006/relationships/hyperlink" Target="https://vk.com/pbachinskaya2013" TargetMode="External"/><Relationship Id="rId45" Type="http://schemas.openxmlformats.org/officeDocument/2006/relationships/hyperlink" Target="https://vk.com/id445282722" TargetMode="External"/><Relationship Id="rId46" Type="http://schemas.openxmlformats.org/officeDocument/2006/relationships/hyperlink" Target="https://vk.com/id445282722" TargetMode="External"/><Relationship Id="rId47" Type="http://schemas.openxmlformats.org/officeDocument/2006/relationships/hyperlink" Target="https://vk.com/pbachinskaya2013" TargetMode="External"/><Relationship Id="rId48" Type="http://schemas.openxmlformats.org/officeDocument/2006/relationships/hyperlink" Target="https://m.vk.com/evlgenius" TargetMode="External"/><Relationship Id="rId49" Type="http://schemas.openxmlformats.org/officeDocument/2006/relationships/hyperlink" Target="https://vk.com/nsidorov2001" TargetMode="External"/><Relationship Id="rId50" Type="http://schemas.openxmlformats.org/officeDocument/2006/relationships/hyperlink" Target="http://vk.com/andrezolnikov" TargetMode="External"/><Relationship Id="rId51" Type="http://schemas.openxmlformats.org/officeDocument/2006/relationships/hyperlink" Target="https://vk.com/id225935599" TargetMode="External"/><Relationship Id="rId52" Type="http://schemas.openxmlformats.org/officeDocument/2006/relationships/hyperlink" Target="http://vk.com/aderkach2017" TargetMode="External"/><Relationship Id="rId53" Type="http://schemas.openxmlformats.org/officeDocument/2006/relationships/hyperlink" Target="https://vk.com/id226113989" TargetMode="External"/><Relationship Id="rId54" Type="http://schemas.openxmlformats.org/officeDocument/2006/relationships/hyperlink" Target="https://vk.com/mrmeller12" TargetMode="External"/><Relationship Id="rId55" Type="http://schemas.openxmlformats.org/officeDocument/2006/relationships/hyperlink" Target="https://m.vk.com/id152267404" TargetMode="External"/><Relationship Id="rId56" Type="http://schemas.openxmlformats.org/officeDocument/2006/relationships/hyperlink" Target="https://vk.com/id230203504" TargetMode="External"/><Relationship Id="rId57" Type="http://schemas.openxmlformats.org/officeDocument/2006/relationships/hyperlink" Target="http://vk.com/renata_eva" TargetMode="External"/><Relationship Id="rId58" Type="http://schemas.openxmlformats.org/officeDocument/2006/relationships/hyperlink" Target="https://m.vk.com/id269671662" TargetMode="External"/><Relationship Id="rId59" Type="http://schemas.openxmlformats.org/officeDocument/2006/relationships/hyperlink" Target="https://vk.com/id382406601" TargetMode="External"/><Relationship Id="rId60" Type="http://schemas.openxmlformats.org/officeDocument/2006/relationships/hyperlink" Target="http://vk.com/dref55" TargetMode="External"/><Relationship Id="rId61" Type="http://schemas.openxmlformats.org/officeDocument/2006/relationships/hyperlink" Target="https://vk.com/id194845468" TargetMode="External"/><Relationship Id="rId62" Type="http://schemas.openxmlformats.org/officeDocument/2006/relationships/hyperlink" Target="https://vk.com/missis.nasta20" TargetMode="External"/><Relationship Id="rId63" Type="http://schemas.openxmlformats.org/officeDocument/2006/relationships/hyperlink" Target="https://vk.com/sergey.prokhorov2000" TargetMode="External"/><Relationship Id="rId64" Type="http://schemas.openxmlformats.org/officeDocument/2006/relationships/hyperlink" Target="http://vk.com/yanafrank" TargetMode="External"/><Relationship Id="rId65" Type="http://schemas.openxmlformats.org/officeDocument/2006/relationships/hyperlink" Target="https://vk.com/aliceintowonderland" TargetMode="External"/><Relationship Id="rId66" Type="http://schemas.openxmlformats.org/officeDocument/2006/relationships/hyperlink" Target="https://vk.com/id210046407" TargetMode="External"/><Relationship Id="rId67" Type="http://schemas.openxmlformats.org/officeDocument/2006/relationships/hyperlink" Target="https://vk.com/username1908" TargetMode="External"/><Relationship Id="rId68" Type="http://schemas.openxmlformats.org/officeDocument/2006/relationships/hyperlink" Target="https://vk.com/id198934365" TargetMode="External"/><Relationship Id="rId69" Type="http://schemas.openxmlformats.org/officeDocument/2006/relationships/hyperlink" Target="http://vk.com/polinko_malinko" TargetMode="External"/><Relationship Id="rId70" Type="http://schemas.openxmlformats.org/officeDocument/2006/relationships/hyperlink" Target="https://vk.com/id183448945" TargetMode="External"/><Relationship Id="rId71" Type="http://schemas.openxmlformats.org/officeDocument/2006/relationships/hyperlink" Target="https://vk.com/id183604164" TargetMode="External"/><Relationship Id="rId72" Type="http://schemas.openxmlformats.org/officeDocument/2006/relationships/hyperlink" Target="https://vk.com/id157850061" TargetMode="External"/><Relationship Id="rId73" Type="http://schemas.openxmlformats.org/officeDocument/2006/relationships/hyperlink" Target="https://vk.com/id183491405" TargetMode="External"/><Relationship Id="rId74" Type="http://schemas.openxmlformats.org/officeDocument/2006/relationships/hyperlink" Target="https://vk.com/sshishova2000" TargetMode="External"/><Relationship Id="rId75" Type="http://schemas.openxmlformats.org/officeDocument/2006/relationships/hyperlink" Target="http://vk.com/id189704537" TargetMode="External"/><Relationship Id="rId76" Type="http://schemas.openxmlformats.org/officeDocument/2006/relationships/hyperlink" Target="http://vk.com/dimagolozov" TargetMode="External"/><Relationship Id="rId77" Type="http://schemas.openxmlformats.org/officeDocument/2006/relationships/hyperlink" Target="http://vk.com/rustam_in" TargetMode="External"/><Relationship Id="rId78" Type="http://schemas.openxmlformats.org/officeDocument/2006/relationships/hyperlink" Target="http://vk.com/17aaaaaaaaaaaaaaaaaaaaaaaaaaaaa" TargetMode="External"/><Relationship Id="rId79" Type="http://schemas.openxmlformats.org/officeDocument/2006/relationships/hyperlink" Target="http://vk.com/sykessad" TargetMode="External"/><Relationship Id="rId80" Type="http://schemas.openxmlformats.org/officeDocument/2006/relationships/hyperlink" Target="https://vk.com/demenkovalexey" TargetMode="External"/><Relationship Id="rId81" Type="http://schemas.openxmlformats.org/officeDocument/2006/relationships/hyperlink" Target="http://vk.com/anna.kurbatova99" TargetMode="External"/><Relationship Id="rId82" Type="http://schemas.openxmlformats.org/officeDocument/2006/relationships/hyperlink" Target="https://vk.com/id269312243" TargetMode="External"/><Relationship Id="rId83" Type="http://schemas.openxmlformats.org/officeDocument/2006/relationships/hyperlink" Target="https://vk.com/id276675815" TargetMode="External"/><Relationship Id="rId84" Type="http://schemas.openxmlformats.org/officeDocument/2006/relationships/hyperlink" Target="https://vk.com/anna_dolgova2004" TargetMode="External"/><Relationship Id="rId85" Type="http://schemas.openxmlformats.org/officeDocument/2006/relationships/hyperlink" Target="https://vk.com/id430049679" TargetMode="External"/><Relationship Id="rId86" Type="http://schemas.openxmlformats.org/officeDocument/2006/relationships/hyperlink" Target="http://vk.com/id308485017" TargetMode="External"/><Relationship Id="rId87" Type="http://schemas.openxmlformats.org/officeDocument/2006/relationships/hyperlink" Target="https://vk.com/sofialyubavina" TargetMode="External"/><Relationship Id="rId88" Type="http://schemas.openxmlformats.org/officeDocument/2006/relationships/hyperlink" Target="https://vk.com/pbachinskaya2013" TargetMode="External"/><Relationship Id="rId89" Type="http://schemas.openxmlformats.org/officeDocument/2006/relationships/hyperlink" Target="http://vk.com/id186803102" TargetMode="External"/><Relationship Id="rId90" Type="http://schemas.openxmlformats.org/officeDocument/2006/relationships/hyperlink" Target="https://vk.com/id249818753" TargetMode="External"/><Relationship Id="rId91" Type="http://schemas.openxmlformats.org/officeDocument/2006/relationships/hyperlink" Target="https://m.vk.com/id402259781" TargetMode="External"/><Relationship Id="rId92" Type="http://schemas.openxmlformats.org/officeDocument/2006/relationships/hyperlink" Target="https://vk.com/utlisa" TargetMode="External"/><Relationship Id="rId93" Type="http://schemas.openxmlformats.org/officeDocument/2006/relationships/hyperlink" Target="http://vk.com/valeria_vinogradova0" TargetMode="External"/><Relationship Id="rId94" Type="http://schemas.openxmlformats.org/officeDocument/2006/relationships/hyperlink" Target="https://vk.com/id139785776" TargetMode="External"/><Relationship Id="rId95" Type="http://schemas.openxmlformats.org/officeDocument/2006/relationships/hyperlink" Target="https://vk.com/katyaaaa468" TargetMode="External"/><Relationship Id="rId96" Type="http://schemas.openxmlformats.org/officeDocument/2006/relationships/hyperlink" Target="https://vk.com/andrvat" TargetMode="External"/><Relationship Id="rId97" Type="http://schemas.openxmlformats.org/officeDocument/2006/relationships/hyperlink" Target="http://vk.com/udav_gosha" TargetMode="External"/><Relationship Id="rId98" Type="http://schemas.openxmlformats.org/officeDocument/2006/relationships/hyperlink" Target="http://vk.com/sergey80401" TargetMode="External"/><Relationship Id="rId99" Type="http://schemas.openxmlformats.org/officeDocument/2006/relationships/hyperlink" Target="https://vk.com/id288643683" TargetMode="External"/><Relationship Id="rId100" Type="http://schemas.openxmlformats.org/officeDocument/2006/relationships/hyperlink" Target="https://m.vk.com/id152267404" TargetMode="External"/><Relationship Id="rId101" Type="http://schemas.openxmlformats.org/officeDocument/2006/relationships/hyperlink" Target="http://vk.com/diamelnik" TargetMode="External"/><Relationship Id="rId102" Type="http://schemas.openxmlformats.org/officeDocument/2006/relationships/hyperlink" Target="https://vk.com/id112552816" TargetMode="External"/><Relationship Id="rId103" Type="http://schemas.openxmlformats.org/officeDocument/2006/relationships/hyperlink" Target="https://m.vk.com/alinasavchenko0" TargetMode="External"/><Relationship Id="rId104" Type="http://schemas.openxmlformats.org/officeDocument/2006/relationships/hyperlink" Target="https://vk.com/id252385302" TargetMode="External"/><Relationship Id="rId105" Type="http://schemas.openxmlformats.org/officeDocument/2006/relationships/hyperlink" Target="https://vk.com/id318731608" TargetMode="External"/><Relationship Id="rId106" Type="http://schemas.openxmlformats.org/officeDocument/2006/relationships/hyperlink" Target="http://vk.com/id271711683" TargetMode="External"/><Relationship Id="rId107" Type="http://schemas.openxmlformats.org/officeDocument/2006/relationships/hyperlink" Target="http://vk.com/elimaksi" TargetMode="External"/><Relationship Id="rId108" Type="http://schemas.openxmlformats.org/officeDocument/2006/relationships/hyperlink" Target="https://vk.com/s.papakina" TargetMode="External"/><Relationship Id="rId109" Type="http://schemas.openxmlformats.org/officeDocument/2006/relationships/hyperlink" Target="https://vk.com/id308817000" TargetMode="External"/><Relationship Id="rId110" Type="http://schemas.openxmlformats.org/officeDocument/2006/relationships/hyperlink" Target="https://vk.com/id171242575" TargetMode="External"/><Relationship Id="rId111" Type="http://schemas.openxmlformats.org/officeDocument/2006/relationships/hyperlink" Target="https://vk.com/id85584620" TargetMode="External"/><Relationship Id="rId112" Type="http://schemas.openxmlformats.org/officeDocument/2006/relationships/hyperlink" Target="https://vk.com/idvadichka" TargetMode="External"/><Relationship Id="rId113" Type="http://schemas.openxmlformats.org/officeDocument/2006/relationships/hyperlink" Target="http://vk.com/neko_murr" TargetMode="External"/><Relationship Id="rId114" Type="http://schemas.openxmlformats.org/officeDocument/2006/relationships/hyperlink" Target="https://vk.com/avstralo_pitek" TargetMode="External"/><Relationship Id="rId115" Type="http://schemas.openxmlformats.org/officeDocument/2006/relationships/hyperlink" Target="https://vk.com/id200827263" TargetMode="External"/><Relationship Id="rId116" Type="http://schemas.openxmlformats.org/officeDocument/2006/relationships/hyperlink" Target="http://vk.com/byheart_chaika" TargetMode="External"/><Relationship Id="rId117" Type="http://schemas.openxmlformats.org/officeDocument/2006/relationships/hyperlink" Target="http://vk.com/aderkach2017" TargetMode="External"/><Relationship Id="rId118" Type="http://schemas.openxmlformats.org/officeDocument/2006/relationships/hyperlink" Target="https://vk.com/s.papakina" TargetMode="External"/><Relationship Id="rId119" Type="http://schemas.openxmlformats.org/officeDocument/2006/relationships/hyperlink" Target="https://vk.com/olya.protazanova" TargetMode="External"/><Relationship Id="rId120" Type="http://schemas.openxmlformats.org/officeDocument/2006/relationships/hyperlink" Target="https://vk.com/scumlife69" TargetMode="External"/><Relationship Id="rId121" Type="http://schemas.openxmlformats.org/officeDocument/2006/relationships/hyperlink" Target="https://vk.com/m.arkushenko" TargetMode="External"/><Relationship Id="rId122" Type="http://schemas.openxmlformats.org/officeDocument/2006/relationships/hyperlink" Target="https://vk.com/tixon2002" TargetMode="External"/><Relationship Id="rId123" Type="http://schemas.openxmlformats.org/officeDocument/2006/relationships/hyperlink" Target="https://m.vk.com/dimetria03" TargetMode="External"/><Relationship Id="rId124" Type="http://schemas.openxmlformats.org/officeDocument/2006/relationships/hyperlink" Target="https://m.vk.com/dimetria03" TargetMode="External"/><Relationship Id="rId125" Type="http://schemas.openxmlformats.org/officeDocument/2006/relationships/hyperlink" Target="https://vk.com/id308817000" TargetMode="External"/><Relationship Id="rId126" Type="http://schemas.openxmlformats.org/officeDocument/2006/relationships/hyperlink" Target="https://vk.com/nternovaya0" TargetMode="External"/><Relationship Id="rId127" Type="http://schemas.openxmlformats.org/officeDocument/2006/relationships/hyperlink" Target="http://vk.com/mikheevii" TargetMode="External"/><Relationship Id="rId128" Type="http://schemas.openxmlformats.org/officeDocument/2006/relationships/hyperlink" Target="http://vk.com/ira_getalova" TargetMode="External"/><Relationship Id="rId129" Type="http://schemas.openxmlformats.org/officeDocument/2006/relationships/hyperlink" Target="https://vk.com/beslizast" TargetMode="External"/><Relationship Id="rId130" Type="http://schemas.openxmlformats.org/officeDocument/2006/relationships/hyperlink" Target="http://vk.com/id415155344" TargetMode="External"/><Relationship Id="rId131" Type="http://schemas.openxmlformats.org/officeDocument/2006/relationships/hyperlink" Target="https://vk.com/mozyleva_marie" TargetMode="External"/><Relationship Id="rId132" Type="http://schemas.openxmlformats.org/officeDocument/2006/relationships/hyperlink" Target="http://vk.com/id440293644" TargetMode="External"/><Relationship Id="rId133" Type="http://schemas.openxmlformats.org/officeDocument/2006/relationships/hyperlink" Target="https://vk.com/der_beste_god" TargetMode="External"/><Relationship Id="rId134" Type="http://schemas.openxmlformats.org/officeDocument/2006/relationships/hyperlink" Target="http://vk.com/vadimka_zaripov" TargetMode="External"/><Relationship Id="rId135" Type="http://schemas.openxmlformats.org/officeDocument/2006/relationships/hyperlink" Target="https://m.vk.com/id172357435" TargetMode="External"/><Relationship Id="rId136" Type="http://schemas.openxmlformats.org/officeDocument/2006/relationships/hyperlink" Target="https://vk.com/homesituation" TargetMode="External"/><Relationship Id="rId137" Type="http://schemas.openxmlformats.org/officeDocument/2006/relationships/hyperlink" Target="http://vk.com/id234591697" TargetMode="External"/><Relationship Id="rId138" Type="http://schemas.openxmlformats.org/officeDocument/2006/relationships/hyperlink" Target="https://vk.com/id207531264" TargetMode="External"/><Relationship Id="rId139" Type="http://schemas.openxmlformats.org/officeDocument/2006/relationships/hyperlink" Target="http://vk.com/id153731120" TargetMode="External"/><Relationship Id="rId140" Type="http://schemas.openxmlformats.org/officeDocument/2006/relationships/hyperlink" Target="https://vk.com/id207531264" TargetMode="External"/><Relationship Id="rId141" Type="http://schemas.openxmlformats.org/officeDocument/2006/relationships/hyperlink" Target="http://vk.com/id415230992" TargetMode="External"/><Relationship Id="rId142" Type="http://schemas.openxmlformats.org/officeDocument/2006/relationships/hyperlink" Target="http://vk.com/ann_1907" TargetMode="External"/><Relationship Id="rId143" Type="http://schemas.openxmlformats.org/officeDocument/2006/relationships/hyperlink" Target="https://m.vk.com/id193643114?act=info" TargetMode="External"/><Relationship Id="rId144" Type="http://schemas.openxmlformats.org/officeDocument/2006/relationships/hyperlink" Target="https://vk.com/doc_ya" TargetMode="External"/><Relationship Id="rId145" Type="http://schemas.openxmlformats.org/officeDocument/2006/relationships/hyperlink" Target="https://m.vk.com/sila_11797r649_sila" TargetMode="External"/><Relationship Id="rId146" Type="http://schemas.openxmlformats.org/officeDocument/2006/relationships/hyperlink" Target="https://vk.com/id224821133" TargetMode="External"/><Relationship Id="rId147" Type="http://schemas.openxmlformats.org/officeDocument/2006/relationships/hyperlink" Target="https://m.vk.com/lolpo2006" TargetMode="External"/><Relationship Id="rId148" Type="http://schemas.openxmlformats.org/officeDocument/2006/relationships/hyperlink" Target="http://vk.com/ann_1907" TargetMode="External"/><Relationship Id="rId149" Type="http://schemas.openxmlformats.org/officeDocument/2006/relationships/hyperlink" Target="https://m.vk.com/id307165294" TargetMode="External"/><Relationship Id="rId150" Type="http://schemas.openxmlformats.org/officeDocument/2006/relationships/hyperlink" Target="https://vk.com/id223911840" TargetMode="External"/><Relationship Id="rId151" Type="http://schemas.openxmlformats.org/officeDocument/2006/relationships/hyperlink" Target="https://vk.com/id136912725" TargetMode="External"/><Relationship Id="rId152" Type="http://schemas.openxmlformats.org/officeDocument/2006/relationships/hyperlink" Target="https://m.vk.com/id85584620" TargetMode="External"/><Relationship Id="rId153" Type="http://schemas.openxmlformats.org/officeDocument/2006/relationships/hyperlink" Target="https://m.vk.com/id85584620" TargetMode="External"/><Relationship Id="rId154" Type="http://schemas.openxmlformats.org/officeDocument/2006/relationships/hyperlink" Target="https://m.vk.com/id85584620" TargetMode="External"/><Relationship Id="rId155" Type="http://schemas.openxmlformats.org/officeDocument/2006/relationships/hyperlink" Target="http://vk.com/dominedeusmf" TargetMode="External"/><Relationship Id="rId156" Type="http://schemas.openxmlformats.org/officeDocument/2006/relationships/hyperlink" Target="http://vk.com/id152857098" TargetMode="External"/><Relationship Id="rId157" Type="http://schemas.openxmlformats.org/officeDocument/2006/relationships/hyperlink" Target="https://m.vk.com/wall-95923242_390" TargetMode="External"/><Relationship Id="rId158" Type="http://schemas.openxmlformats.org/officeDocument/2006/relationships/hyperlink" Target="https://m.vk.com/wall-95923242_390" TargetMode="External"/><Relationship Id="rId159" Type="http://schemas.openxmlformats.org/officeDocument/2006/relationships/hyperlink" Target="https://vk.com/kiparis_zelenenkiy" TargetMode="External"/><Relationship Id="rId160" Type="http://schemas.openxmlformats.org/officeDocument/2006/relationships/hyperlink" Target="http://vk.com/id245076479" TargetMode="External"/><Relationship Id="rId161" Type="http://schemas.openxmlformats.org/officeDocument/2006/relationships/hyperlink" Target="https://vk.com/id356172162" TargetMode="External"/><Relationship Id="rId162" Type="http://schemas.openxmlformats.org/officeDocument/2006/relationships/hyperlink" Target="http://vk.com/werrewqr" TargetMode="External"/><Relationship Id="rId163" Type="http://schemas.openxmlformats.org/officeDocument/2006/relationships/hyperlink" Target="https://vk.com/id383760243" TargetMode="External"/><Relationship Id="rId164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vk.com/mylucky_strike" TargetMode="External"/><Relationship Id="rId3" Type="http://schemas.openxmlformats.org/officeDocument/2006/relationships/hyperlink" Target="https://vk.com/id409884286" TargetMode="External"/><Relationship Id="rId4" Type="http://schemas.openxmlformats.org/officeDocument/2006/relationships/hyperlink" Target="https://vk.com/d.polyakova1" TargetMode="External"/><Relationship Id="rId5" Type="http://schemas.openxmlformats.org/officeDocument/2006/relationships/hyperlink" Target="https://vk.com/id306756810" TargetMode="External"/><Relationship Id="rId6" Type="http://schemas.openxmlformats.org/officeDocument/2006/relationships/hyperlink" Target="https://vk.com/shdoo" TargetMode="External"/><Relationship Id="rId7" Type="http://schemas.openxmlformats.org/officeDocument/2006/relationships/hyperlink" Target="https://vk.com/ilya_kuzin" TargetMode="External"/><Relationship Id="rId8" Type="http://schemas.openxmlformats.org/officeDocument/2006/relationships/hyperlink" Target="https://vk.com/mariasmb" TargetMode="External"/><Relationship Id="rId9" Type="http://schemas.openxmlformats.org/officeDocument/2006/relationships/hyperlink" Target="http://vk.com/sasashasas" TargetMode="External"/><Relationship Id="rId10" Type="http://schemas.openxmlformats.org/officeDocument/2006/relationships/hyperlink" Target="https://vk.com/fuyock" TargetMode="External"/><Relationship Id="rId11" Type="http://schemas.openxmlformats.org/officeDocument/2006/relationships/hyperlink" Target="https://vk.com/m.christmas27" TargetMode="External"/><Relationship Id="rId12" Type="http://schemas.openxmlformats.org/officeDocument/2006/relationships/hyperlink" Target="https://vk.com/alexandrinioo" TargetMode="External"/><Relationship Id="rId13" Type="http://schemas.openxmlformats.org/officeDocument/2006/relationships/hyperlink" Target="https://vk.com/luka5s5" TargetMode="External"/><Relationship Id="rId14" Type="http://schemas.openxmlformats.org/officeDocument/2006/relationships/hyperlink" Target="https://vk.com/belimcatherine" TargetMode="External"/><Relationship Id="rId15" Type="http://schemas.openxmlformats.org/officeDocument/2006/relationships/hyperlink" Target="https://vk.com/keaker" TargetMode="External"/><Relationship Id="rId16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vk.com/yanafrank" TargetMode="External"/><Relationship Id="rId2" Type="http://schemas.openxmlformats.org/officeDocument/2006/relationships/hyperlink" Target="http://vk.com/alinasavchenko0" TargetMode="External"/><Relationship Id="rId3" Type="http://schemas.openxmlformats.org/officeDocument/2006/relationships/hyperlink" Target="http://vk.com/avstralo_pitek" TargetMode="External"/><Relationship Id="rId4" Type="http://schemas.openxmlformats.org/officeDocument/2006/relationships/hyperlink" Target="http://vk.com/id200827263" TargetMode="External"/><Relationship Id="rId5" Type="http://schemas.openxmlformats.org/officeDocument/2006/relationships/hyperlink" Target="http://vk.com/scumlife69" TargetMode="External"/><Relationship Id="rId6" Type="http://schemas.openxmlformats.org/officeDocument/2006/relationships/hyperlink" Target="http://vk.com/lolpo2006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vk.com/licharovski" TargetMode="External"/><Relationship Id="rId2" Type="http://schemas.openxmlformats.org/officeDocument/2006/relationships/hyperlink" Target="http://vk.com/malenkaia_esho" TargetMode="External"/><Relationship Id="rId3" Type="http://schemas.openxmlformats.org/officeDocument/2006/relationships/hyperlink" Target="http://vk.com/anna.kurbatova99" TargetMode="External"/><Relationship Id="rId4" Type="http://schemas.openxmlformats.org/officeDocument/2006/relationships/hyperlink" Target="http://vk.com/id153731120" TargetMode="External"/><Relationship Id="rId5" Type="http://schemas.openxmlformats.org/officeDocument/2006/relationships/drawing" Target="../drawings/drawing2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vk.com/loiwwer" TargetMode="External"/><Relationship Id="rId2" Type="http://schemas.openxmlformats.org/officeDocument/2006/relationships/hyperlink" Target="http://vk.com/sofialyubavina" TargetMode="External"/><Relationship Id="rId3" Type="http://schemas.openxmlformats.org/officeDocument/2006/relationships/hyperlink" Target="http://vk.com/werrewqr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vk.com/agarbus2003" TargetMode="External"/><Relationship Id="rId2" Type="http://schemas.openxmlformats.org/officeDocument/2006/relationships/hyperlink" Target="http://vk.com/sshishova2000" TargetMode="External"/><Relationship Id="rId3" Type="http://schemas.openxmlformats.org/officeDocument/2006/relationships/hyperlink" Target="http://vk.com/17aaaaaaaaaaaaaaaaaaaaaaaaaaaaa" TargetMode="External"/><Relationship Id="rId4" Type="http://schemas.openxmlformats.org/officeDocument/2006/relationships/hyperlink" Target="http://vk.com/idvadichka" TargetMode="External"/><Relationship Id="rId5" Type="http://schemas.openxmlformats.org/officeDocument/2006/relationships/hyperlink" Target="http://vk.com/id85584620" TargetMode="External"/><Relationship Id="rId6" Type="http://schemas.openxmlformats.org/officeDocument/2006/relationships/hyperlink" Target="https://vk.com/mylucky_strike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vk.com/agarbus2003" TargetMode="External"/><Relationship Id="rId2" Type="http://schemas.openxmlformats.org/officeDocument/2006/relationships/hyperlink" Target="http://vk.com/id243002488" TargetMode="External"/><Relationship Id="rId3" Type="http://schemas.openxmlformats.org/officeDocument/2006/relationships/hyperlink" Target="http://vk.com/kotyangensss" TargetMode="External"/><Relationship Id="rId4" Type="http://schemas.openxmlformats.org/officeDocument/2006/relationships/hyperlink" Target="http://vk.com/id206813526" TargetMode="External"/><Relationship Id="rId5" Type="http://schemas.openxmlformats.org/officeDocument/2006/relationships/hyperlink" Target="http://vk.com/djabella" TargetMode="External"/><Relationship Id="rId6" Type="http://schemas.openxmlformats.org/officeDocument/2006/relationships/hyperlink" Target="http://vk.com/id262530619" TargetMode="External"/><Relationship Id="rId7" Type="http://schemas.openxmlformats.org/officeDocument/2006/relationships/hyperlink" Target="http://vk.com/lazarevtolyan" TargetMode="External"/><Relationship Id="rId8" Type="http://schemas.openxmlformats.org/officeDocument/2006/relationships/hyperlink" Target="http://vk.com/licharovski" TargetMode="External"/><Relationship Id="rId9" Type="http://schemas.openxmlformats.org/officeDocument/2006/relationships/hyperlink" Target="http://vk.com/muravyeva2012" TargetMode="External"/><Relationship Id="rId10" Type="http://schemas.openxmlformats.org/officeDocument/2006/relationships/hyperlink" Target="http://vk.com/maninthebluebox" TargetMode="External"/><Relationship Id="rId11" Type="http://schemas.openxmlformats.org/officeDocument/2006/relationships/hyperlink" Target="http://vk.com/sadmaris" TargetMode="External"/><Relationship Id="rId12" Type="http://schemas.openxmlformats.org/officeDocument/2006/relationships/hyperlink" Target="http://vk.com/mara.rina" TargetMode="External"/><Relationship Id="rId13" Type="http://schemas.openxmlformats.org/officeDocument/2006/relationships/hyperlink" Target="http://vk.com/id209670944" TargetMode="External"/><Relationship Id="rId14" Type="http://schemas.openxmlformats.org/officeDocument/2006/relationships/hyperlink" Target="http://vk.com/teemereva" TargetMode="External"/><Relationship Id="rId15" Type="http://schemas.openxmlformats.org/officeDocument/2006/relationships/hyperlink" Target="http://vk.com/leepsi" TargetMode="External"/><Relationship Id="rId16" Type="http://schemas.openxmlformats.org/officeDocument/2006/relationships/hyperlink" Target="http://vk.com/umnayshe4ka" TargetMode="External"/><Relationship Id="rId17" Type="http://schemas.openxmlformats.org/officeDocument/2006/relationships/hyperlink" Target="http://vk.com/zyymeboy" TargetMode="External"/><Relationship Id="rId18" Type="http://schemas.openxmlformats.org/officeDocument/2006/relationships/hyperlink" Target="http://vk.com/ijustwannahearyouscreamagain" TargetMode="External"/><Relationship Id="rId19" Type="http://schemas.openxmlformats.org/officeDocument/2006/relationships/hyperlink" Target="http://vk.com/timfencing" TargetMode="External"/><Relationship Id="rId20" Type="http://schemas.openxmlformats.org/officeDocument/2006/relationships/hyperlink" Target="http://vk.com/sermon.kokosov" TargetMode="External"/><Relationship Id="rId21" Type="http://schemas.openxmlformats.org/officeDocument/2006/relationships/hyperlink" Target="http://vk.com/id270970940" TargetMode="External"/><Relationship Id="rId22" Type="http://schemas.openxmlformats.org/officeDocument/2006/relationships/hyperlink" Target="http://vk.com/mihagg1" TargetMode="External"/><Relationship Id="rId23" Type="http://schemas.openxmlformats.org/officeDocument/2006/relationships/hyperlink" Target="http://vk.com/siemens1337" TargetMode="External"/><Relationship Id="rId24" Type="http://schemas.openxmlformats.org/officeDocument/2006/relationships/hyperlink" Target="http://vk.com/loiwwer" TargetMode="External"/><Relationship Id="rId25" Type="http://schemas.openxmlformats.org/officeDocument/2006/relationships/hyperlink" Target="http://vk.com/malenkaia_esho" TargetMode="External"/><Relationship Id="rId26" Type="http://schemas.openxmlformats.org/officeDocument/2006/relationships/hyperlink" Target="http://vk.com/egorkaegorih" TargetMode="External"/><Relationship Id="rId27" Type="http://schemas.openxmlformats.org/officeDocument/2006/relationships/hyperlink" Target="http://vk.com/lexxandria" TargetMode="External"/><Relationship Id="rId28" Type="http://schemas.openxmlformats.org/officeDocument/2006/relationships/hyperlink" Target="http://vk.com/1rustim1" TargetMode="External"/><Relationship Id="rId29" Type="http://schemas.openxmlformats.org/officeDocument/2006/relationships/hyperlink" Target="http://vk.com/liub04ka" TargetMode="External"/><Relationship Id="rId30" Type="http://schemas.openxmlformats.org/officeDocument/2006/relationships/hyperlink" Target="http://vk.com/id445282722" TargetMode="External"/><Relationship Id="rId31" Type="http://schemas.openxmlformats.org/officeDocument/2006/relationships/hyperlink" Target="http://vk.com/evlgenius" TargetMode="External"/><Relationship Id="rId32" Type="http://schemas.openxmlformats.org/officeDocument/2006/relationships/hyperlink" Target="http://vk.com/nsidorov2001" TargetMode="External"/><Relationship Id="rId33" Type="http://schemas.openxmlformats.org/officeDocument/2006/relationships/hyperlink" Target="http://vk.com/andrezolnikov" TargetMode="External"/><Relationship Id="rId34" Type="http://schemas.openxmlformats.org/officeDocument/2006/relationships/hyperlink" Target="http://vk.com/id225935599" TargetMode="External"/><Relationship Id="rId35" Type="http://schemas.openxmlformats.org/officeDocument/2006/relationships/hyperlink" Target="http://vk.com/id226113989" TargetMode="External"/><Relationship Id="rId36" Type="http://schemas.openxmlformats.org/officeDocument/2006/relationships/hyperlink" Target="http://vk.com/id230203504" TargetMode="External"/><Relationship Id="rId37" Type="http://schemas.openxmlformats.org/officeDocument/2006/relationships/hyperlink" Target="http://vk.com/renata_eva" TargetMode="External"/><Relationship Id="rId38" Type="http://schemas.openxmlformats.org/officeDocument/2006/relationships/hyperlink" Target="http://vk.com/id269671662" TargetMode="External"/><Relationship Id="rId39" Type="http://schemas.openxmlformats.org/officeDocument/2006/relationships/hyperlink" Target="http://vk.com/id382406601" TargetMode="External"/><Relationship Id="rId40" Type="http://schemas.openxmlformats.org/officeDocument/2006/relationships/hyperlink" Target="http://vk.com/dref55" TargetMode="External"/><Relationship Id="rId41" Type="http://schemas.openxmlformats.org/officeDocument/2006/relationships/hyperlink" Target="http://vk.com/id194845468" TargetMode="External"/><Relationship Id="rId42" Type="http://schemas.openxmlformats.org/officeDocument/2006/relationships/hyperlink" Target="http://vk.com/missis.nasta20" TargetMode="External"/><Relationship Id="rId43" Type="http://schemas.openxmlformats.org/officeDocument/2006/relationships/hyperlink" Target="http://vk.com/sergey.prokhorov2000" TargetMode="External"/><Relationship Id="rId44" Type="http://schemas.openxmlformats.org/officeDocument/2006/relationships/hyperlink" Target="http://vk.com/yanafrank" TargetMode="External"/><Relationship Id="rId45" Type="http://schemas.openxmlformats.org/officeDocument/2006/relationships/hyperlink" Target="http://vk.com/aliceintowonderland" TargetMode="External"/><Relationship Id="rId46" Type="http://schemas.openxmlformats.org/officeDocument/2006/relationships/hyperlink" Target="http://vk.com/id210046407" TargetMode="External"/><Relationship Id="rId47" Type="http://schemas.openxmlformats.org/officeDocument/2006/relationships/hyperlink" Target="http://vk.com/id198934365" TargetMode="External"/><Relationship Id="rId48" Type="http://schemas.openxmlformats.org/officeDocument/2006/relationships/hyperlink" Target="http://vk.com/polinko_malinko" TargetMode="External"/><Relationship Id="rId49" Type="http://schemas.openxmlformats.org/officeDocument/2006/relationships/hyperlink" Target="http://vk.com/id183604164" TargetMode="External"/><Relationship Id="rId50" Type="http://schemas.openxmlformats.org/officeDocument/2006/relationships/hyperlink" Target="http://vk.com/id183448945" TargetMode="External"/><Relationship Id="rId51" Type="http://schemas.openxmlformats.org/officeDocument/2006/relationships/hyperlink" Target="http://vk.com/id157850061" TargetMode="External"/><Relationship Id="rId52" Type="http://schemas.openxmlformats.org/officeDocument/2006/relationships/hyperlink" Target="http://vk.com/id183491405" TargetMode="External"/><Relationship Id="rId53" Type="http://schemas.openxmlformats.org/officeDocument/2006/relationships/hyperlink" Target="http://vk.com/sshishova2000" TargetMode="External"/><Relationship Id="rId54" Type="http://schemas.openxmlformats.org/officeDocument/2006/relationships/hyperlink" Target="http://vk.com/id189704537" TargetMode="External"/><Relationship Id="rId55" Type="http://schemas.openxmlformats.org/officeDocument/2006/relationships/hyperlink" Target="http://vk.com/dimagolozov" TargetMode="External"/><Relationship Id="rId56" Type="http://schemas.openxmlformats.org/officeDocument/2006/relationships/hyperlink" Target="http://vk.com/rustam_in" TargetMode="External"/><Relationship Id="rId57" Type="http://schemas.openxmlformats.org/officeDocument/2006/relationships/hyperlink" Target="http://vk.com/17aaaaaaaaaaaaaaaaaaaaaaaaaaaaa" TargetMode="External"/><Relationship Id="rId58" Type="http://schemas.openxmlformats.org/officeDocument/2006/relationships/hyperlink" Target="http://vk.com/sykessad" TargetMode="External"/><Relationship Id="rId59" Type="http://schemas.openxmlformats.org/officeDocument/2006/relationships/hyperlink" Target="http://vk.com/anna.kurbatova99" TargetMode="External"/><Relationship Id="rId60" Type="http://schemas.openxmlformats.org/officeDocument/2006/relationships/hyperlink" Target="http://vk.com/id269312243" TargetMode="External"/><Relationship Id="rId61" Type="http://schemas.openxmlformats.org/officeDocument/2006/relationships/hyperlink" Target="http://vk.com/id276675815" TargetMode="External"/><Relationship Id="rId62" Type="http://schemas.openxmlformats.org/officeDocument/2006/relationships/hyperlink" Target="http://vk.com/anna_dolgova2004" TargetMode="External"/><Relationship Id="rId63" Type="http://schemas.openxmlformats.org/officeDocument/2006/relationships/hyperlink" Target="http://vk.com/id308485017" TargetMode="External"/><Relationship Id="rId64" Type="http://schemas.openxmlformats.org/officeDocument/2006/relationships/hyperlink" Target="http://vk.com/sofialyubavina" TargetMode="External"/><Relationship Id="rId65" Type="http://schemas.openxmlformats.org/officeDocument/2006/relationships/hyperlink" Target="http://vk.com/id186803102" TargetMode="External"/><Relationship Id="rId66" Type="http://schemas.openxmlformats.org/officeDocument/2006/relationships/hyperlink" Target="http://vk.com/id249818753" TargetMode="External"/><Relationship Id="rId67" Type="http://schemas.openxmlformats.org/officeDocument/2006/relationships/hyperlink" Target="http://vk.com/id402259781" TargetMode="External"/><Relationship Id="rId68" Type="http://schemas.openxmlformats.org/officeDocument/2006/relationships/hyperlink" Target="http://vk.com/utlisa" TargetMode="External"/><Relationship Id="rId69" Type="http://schemas.openxmlformats.org/officeDocument/2006/relationships/hyperlink" Target="http://vk.com/id139785776" TargetMode="External"/><Relationship Id="rId70" Type="http://schemas.openxmlformats.org/officeDocument/2006/relationships/hyperlink" Target="http://vk.com/katyaaaa468" TargetMode="External"/><Relationship Id="rId71" Type="http://schemas.openxmlformats.org/officeDocument/2006/relationships/hyperlink" Target="http://vk.com/valeria_vinogradova0" TargetMode="External"/><Relationship Id="rId72" Type="http://schemas.openxmlformats.org/officeDocument/2006/relationships/hyperlink" Target="http://vk.com/andrvat" TargetMode="External"/><Relationship Id="rId73" Type="http://schemas.openxmlformats.org/officeDocument/2006/relationships/hyperlink" Target="http://vk.com/udav_gosha" TargetMode="External"/><Relationship Id="rId74" Type="http://schemas.openxmlformats.org/officeDocument/2006/relationships/hyperlink" Target="http://vk.com/sergey80401" TargetMode="External"/><Relationship Id="rId75" Type="http://schemas.openxmlformats.org/officeDocument/2006/relationships/hyperlink" Target="http://vk.com/id288643683" TargetMode="External"/><Relationship Id="rId76" Type="http://schemas.openxmlformats.org/officeDocument/2006/relationships/hyperlink" Target="http://vk.com/id152267404" TargetMode="External"/><Relationship Id="rId77" Type="http://schemas.openxmlformats.org/officeDocument/2006/relationships/hyperlink" Target="http://vk.com/diamelnik" TargetMode="External"/><Relationship Id="rId78" Type="http://schemas.openxmlformats.org/officeDocument/2006/relationships/hyperlink" Target="http://vk.com/id112552816" TargetMode="External"/><Relationship Id="rId79" Type="http://schemas.openxmlformats.org/officeDocument/2006/relationships/hyperlink" Target="http://vk.com/alinasavchenko0" TargetMode="External"/><Relationship Id="rId80" Type="http://schemas.openxmlformats.org/officeDocument/2006/relationships/hyperlink" Target="http://vk.com/id252385302" TargetMode="External"/><Relationship Id="rId81" Type="http://schemas.openxmlformats.org/officeDocument/2006/relationships/hyperlink" Target="http://vk.com/id318731608" TargetMode="External"/><Relationship Id="rId82" Type="http://schemas.openxmlformats.org/officeDocument/2006/relationships/hyperlink" Target="http://vk.com/elimaksi" TargetMode="External"/><Relationship Id="rId83" Type="http://schemas.openxmlformats.org/officeDocument/2006/relationships/hyperlink" Target="http://vk.com/id171242575" TargetMode="External"/><Relationship Id="rId84" Type="http://schemas.openxmlformats.org/officeDocument/2006/relationships/hyperlink" Target="http://vk.com/idvadichka" TargetMode="External"/><Relationship Id="rId85" Type="http://schemas.openxmlformats.org/officeDocument/2006/relationships/hyperlink" Target="http://vk.com/neko_murr" TargetMode="External"/><Relationship Id="rId86" Type="http://schemas.openxmlformats.org/officeDocument/2006/relationships/hyperlink" Target="http://vk.com/id324373436" TargetMode="External"/><Relationship Id="rId87" Type="http://schemas.openxmlformats.org/officeDocument/2006/relationships/hyperlink" Target="http://vk.com/avstralo_pitek" TargetMode="External"/><Relationship Id="rId88" Type="http://schemas.openxmlformats.org/officeDocument/2006/relationships/hyperlink" Target="http://vk.com/id200827263" TargetMode="External"/><Relationship Id="rId89" Type="http://schemas.openxmlformats.org/officeDocument/2006/relationships/hyperlink" Target="http://vk.com/byheart_chaika" TargetMode="External"/><Relationship Id="rId90" Type="http://schemas.openxmlformats.org/officeDocument/2006/relationships/hyperlink" Target="http://vk.com/aderkach2017" TargetMode="External"/><Relationship Id="rId91" Type="http://schemas.openxmlformats.org/officeDocument/2006/relationships/hyperlink" Target="http://vk.com/s.papakina" TargetMode="External"/><Relationship Id="rId92" Type="http://schemas.openxmlformats.org/officeDocument/2006/relationships/hyperlink" Target="http://vk.com/olya.protazanova" TargetMode="External"/><Relationship Id="rId93" Type="http://schemas.openxmlformats.org/officeDocument/2006/relationships/hyperlink" Target="http://vk.com/m.arkushenko" TargetMode="External"/><Relationship Id="rId94" Type="http://schemas.openxmlformats.org/officeDocument/2006/relationships/hyperlink" Target="http://vk.com/dimetria03" TargetMode="External"/><Relationship Id="rId95" Type="http://schemas.openxmlformats.org/officeDocument/2006/relationships/hyperlink" Target="http://vk.com/id308817000" TargetMode="External"/><Relationship Id="rId96" Type="http://schemas.openxmlformats.org/officeDocument/2006/relationships/hyperlink" Target="http://vk.com/nternovaya0" TargetMode="External"/><Relationship Id="rId97" Type="http://schemas.openxmlformats.org/officeDocument/2006/relationships/hyperlink" Target="http://vk.com/mikheevii" TargetMode="External"/><Relationship Id="rId98" Type="http://schemas.openxmlformats.org/officeDocument/2006/relationships/hyperlink" Target="http://vk.com/ira_getalova" TargetMode="External"/><Relationship Id="rId99" Type="http://schemas.openxmlformats.org/officeDocument/2006/relationships/hyperlink" Target="http://vk.com/beslizast" TargetMode="External"/><Relationship Id="rId100" Type="http://schemas.openxmlformats.org/officeDocument/2006/relationships/hyperlink" Target="http://vk.com/mozyleva_marie" TargetMode="External"/><Relationship Id="rId101" Type="http://schemas.openxmlformats.org/officeDocument/2006/relationships/hyperlink" Target="http://vk.com/id440293644" TargetMode="External"/><Relationship Id="rId102" Type="http://schemas.openxmlformats.org/officeDocument/2006/relationships/hyperlink" Target="http://vk.com/der_beste_god" TargetMode="External"/><Relationship Id="rId103" Type="http://schemas.openxmlformats.org/officeDocument/2006/relationships/hyperlink" Target="http://vk.com/id172357435" TargetMode="External"/><Relationship Id="rId104" Type="http://schemas.openxmlformats.org/officeDocument/2006/relationships/hyperlink" Target="http://vk.com/homesituation" TargetMode="External"/><Relationship Id="rId105" Type="http://schemas.openxmlformats.org/officeDocument/2006/relationships/hyperlink" Target="http://vk.com/id234591697" TargetMode="External"/><Relationship Id="rId106" Type="http://schemas.openxmlformats.org/officeDocument/2006/relationships/hyperlink" Target="http://vk.com/id153731120" TargetMode="External"/><Relationship Id="rId107" Type="http://schemas.openxmlformats.org/officeDocument/2006/relationships/hyperlink" Target="http://vk.com/id207531264" TargetMode="External"/><Relationship Id="rId108" Type="http://schemas.openxmlformats.org/officeDocument/2006/relationships/hyperlink" Target="http://vk.com/id415230992" TargetMode="External"/><Relationship Id="rId109" Type="http://schemas.openxmlformats.org/officeDocument/2006/relationships/hyperlink" Target="http://vk.com/doc_ya" TargetMode="External"/><Relationship Id="rId110" Type="http://schemas.openxmlformats.org/officeDocument/2006/relationships/hyperlink" Target="http://vk.com/sila_11797r649_sila" TargetMode="External"/><Relationship Id="rId111" Type="http://schemas.openxmlformats.org/officeDocument/2006/relationships/hyperlink" Target="http://vk.com/id224821133" TargetMode="External"/><Relationship Id="rId112" Type="http://schemas.openxmlformats.org/officeDocument/2006/relationships/hyperlink" Target="http://vk.com/ann_1907" TargetMode="External"/><Relationship Id="rId113" Type="http://schemas.openxmlformats.org/officeDocument/2006/relationships/hyperlink" Target="http://vk.com/id307165294" TargetMode="External"/><Relationship Id="rId114" Type="http://schemas.openxmlformats.org/officeDocument/2006/relationships/hyperlink" Target="http://vk.com/id223911840" TargetMode="External"/><Relationship Id="rId115" Type="http://schemas.openxmlformats.org/officeDocument/2006/relationships/hyperlink" Target="http://vk.com/id136912725" TargetMode="External"/><Relationship Id="rId116" Type="http://schemas.openxmlformats.org/officeDocument/2006/relationships/hyperlink" Target="http://vk.com/id85584620" TargetMode="External"/><Relationship Id="rId117" Type="http://schemas.openxmlformats.org/officeDocument/2006/relationships/hyperlink" Target="http://vk.com/dominedeusmf" TargetMode="External"/><Relationship Id="rId118" Type="http://schemas.openxmlformats.org/officeDocument/2006/relationships/hyperlink" Target="http://vk.com/wall-95923242_390" TargetMode="External"/><Relationship Id="rId119" Type="http://schemas.openxmlformats.org/officeDocument/2006/relationships/hyperlink" Target="http://vk.com/id152857098" TargetMode="External"/><Relationship Id="rId120" Type="http://schemas.openxmlformats.org/officeDocument/2006/relationships/hyperlink" Target="http://vk.com/kiparis_zelenenkiy" TargetMode="External"/><Relationship Id="rId121" Type="http://schemas.openxmlformats.org/officeDocument/2006/relationships/hyperlink" Target="http://vk.com/id245076479" TargetMode="External"/><Relationship Id="rId122" Type="http://schemas.openxmlformats.org/officeDocument/2006/relationships/hyperlink" Target="http://vk.com/werrewqr" TargetMode="External"/><Relationship Id="rId123" Type="http://schemas.openxmlformats.org/officeDocument/2006/relationships/hyperlink" Target="http://vk.com/id383760243" TargetMode="External"/><Relationship Id="rId124" Type="http://schemas.openxmlformats.org/officeDocument/2006/relationships/hyperlink" Target="https://vk.com/mylucky_strike" TargetMode="External"/><Relationship Id="rId125" Type="http://schemas.openxmlformats.org/officeDocument/2006/relationships/hyperlink" Target="https://vk.com/id409884286" TargetMode="External"/><Relationship Id="rId126" Type="http://schemas.openxmlformats.org/officeDocument/2006/relationships/hyperlink" Target="https://vk.com/d.polyakova1" TargetMode="External"/><Relationship Id="rId127" Type="http://schemas.openxmlformats.org/officeDocument/2006/relationships/hyperlink" Target="https://vk.com/id306756810" TargetMode="External"/><Relationship Id="rId128" Type="http://schemas.openxmlformats.org/officeDocument/2006/relationships/hyperlink" Target="https://vk.com/shdoo" TargetMode="External"/><Relationship Id="rId129" Type="http://schemas.openxmlformats.org/officeDocument/2006/relationships/hyperlink" Target="https://vk.com/ilya_kuzin" TargetMode="External"/><Relationship Id="rId130" Type="http://schemas.openxmlformats.org/officeDocument/2006/relationships/hyperlink" Target="https://vk.com/mariasmb" TargetMode="External"/><Relationship Id="rId131" Type="http://schemas.openxmlformats.org/officeDocument/2006/relationships/hyperlink" Target="http://vk.com/sasashasas" TargetMode="External"/><Relationship Id="rId132" Type="http://schemas.openxmlformats.org/officeDocument/2006/relationships/hyperlink" Target="https://vk.com/fuyock" TargetMode="External"/><Relationship Id="rId133" Type="http://schemas.openxmlformats.org/officeDocument/2006/relationships/hyperlink" Target="https://vk.com/m.christmas27" TargetMode="External"/><Relationship Id="rId134" Type="http://schemas.openxmlformats.org/officeDocument/2006/relationships/hyperlink" Target="https://vk.com/alexandrinioo" TargetMode="External"/><Relationship Id="rId135" Type="http://schemas.openxmlformats.org/officeDocument/2006/relationships/hyperlink" Target="https://vk.com/luka5s5" TargetMode="External"/><Relationship Id="rId136" Type="http://schemas.openxmlformats.org/officeDocument/2006/relationships/hyperlink" Target="https://vk.com/belimcatherine" TargetMode="External"/><Relationship Id="rId137" Type="http://schemas.openxmlformats.org/officeDocument/2006/relationships/hyperlink" Target="https://vk.com/keaker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://vk.com/agent024" TargetMode="External"/><Relationship Id="rId2" Type="http://schemas.openxmlformats.org/officeDocument/2006/relationships/hyperlink" Target="http://vk.com/id55040621" TargetMode="External"/><Relationship Id="rId3" Type="http://schemas.openxmlformats.org/officeDocument/2006/relationships/hyperlink" Target="http://vk.com/alisatemereva" TargetMode="External"/><Relationship Id="rId4" Type="http://schemas.openxmlformats.org/officeDocument/2006/relationships/hyperlink" Target="http://vk.com/id206813526" TargetMode="External"/><Relationship Id="rId5" Type="http://schemas.openxmlformats.org/officeDocument/2006/relationships/hyperlink" Target="http://vk.com/jess41359473" TargetMode="External"/><Relationship Id="rId6" Type="http://schemas.openxmlformats.org/officeDocument/2006/relationships/hyperlink" Target="http://vk.com/id293021806" TargetMode="External"/><Relationship Id="rId7" Type="http://schemas.openxmlformats.org/officeDocument/2006/relationships/hyperlink" Target="http://vk.com/id326623716" TargetMode="External"/><Relationship Id="rId8" Type="http://schemas.openxmlformats.org/officeDocument/2006/relationships/hyperlink" Target="http://vk.com/id402259781" TargetMode="External"/><Relationship Id="rId9" Type="http://schemas.openxmlformats.org/officeDocument/2006/relationships/hyperlink" Target="http://vk.com/tillid" TargetMode="External"/><Relationship Id="rId10" Type="http://schemas.openxmlformats.org/officeDocument/2006/relationships/hyperlink" Target="http://vk.com/juliya___z" TargetMode="External"/><Relationship Id="rId11" Type="http://schemas.openxmlformats.org/officeDocument/2006/relationships/hyperlink" Target="http://vk.com/id166902078" TargetMode="External"/><Relationship Id="rId12" Type="http://schemas.openxmlformats.org/officeDocument/2006/relationships/hyperlink" Target="http://vk.com/loiwwer" TargetMode="External"/><Relationship Id="rId13" Type="http://schemas.openxmlformats.org/officeDocument/2006/relationships/hyperlink" Target="http://vk.com/idiamolya" TargetMode="External"/><Relationship Id="rId14" Type="http://schemas.openxmlformats.org/officeDocument/2006/relationships/hyperlink" Target="http://vk.com/id305699141" TargetMode="External"/><Relationship Id="rId15" Type="http://schemas.openxmlformats.org/officeDocument/2006/relationships/hyperlink" Target="http://vk.com/id400485657" TargetMode="External"/><Relationship Id="rId16" Type="http://schemas.openxmlformats.org/officeDocument/2006/relationships/hyperlink" Target="http://vk.com/id157850061" TargetMode="External"/><Relationship Id="rId17" Type="http://schemas.openxmlformats.org/officeDocument/2006/relationships/hyperlink" Target="http://vk.com/liza06082000" TargetMode="External"/><Relationship Id="rId18" Type="http://schemas.openxmlformats.org/officeDocument/2006/relationships/hyperlink" Target="http://vk.com/lozhnikov_victor" TargetMode="External"/><Relationship Id="rId19" Type="http://schemas.openxmlformats.org/officeDocument/2006/relationships/hyperlink" Target="http://vk.com/sermon.kokosov" TargetMode="External"/><Relationship Id="rId20" Type="http://schemas.openxmlformats.org/officeDocument/2006/relationships/hyperlink" Target="http://vk.com/tsyndukov" TargetMode="External"/><Relationship Id="rId21" Type="http://schemas.openxmlformats.org/officeDocument/2006/relationships/hyperlink" Target="http://vk.com/id99314292" TargetMode="External"/><Relationship Id="rId22" Type="http://schemas.openxmlformats.org/officeDocument/2006/relationships/hyperlink" Target="http://vk.com/damaskyoutube" TargetMode="External"/><Relationship Id="rId23" Type="http://schemas.openxmlformats.org/officeDocument/2006/relationships/hyperlink" Target="http://vk.com/id198934365" TargetMode="External"/><Relationship Id="rId24" Type="http://schemas.openxmlformats.org/officeDocument/2006/relationships/hyperlink" Target="http://vk.com/anitastashevskaya" TargetMode="External"/><Relationship Id="rId25" Type="http://schemas.openxmlformats.org/officeDocument/2006/relationships/hyperlink" Target="http://vk.com/id281300280" TargetMode="External"/><Relationship Id="rId26" Type="http://schemas.openxmlformats.org/officeDocument/2006/relationships/hyperlink" Target="http://vk.com/zhenek1979" TargetMode="External"/><Relationship Id="rId27" Type="http://schemas.openxmlformats.org/officeDocument/2006/relationships/hyperlink" Target="http://vk.com/alenushkaa_a" TargetMode="External"/><Relationship Id="rId28" Type="http://schemas.openxmlformats.org/officeDocument/2006/relationships/hyperlink" Target="http://vk.com/yulyabalakina" TargetMode="External"/><Relationship Id="rId29" Type="http://schemas.openxmlformats.org/officeDocument/2006/relationships/hyperlink" Target="http://vk.com/dref55" TargetMode="External"/><Relationship Id="rId30" Type="http://schemas.openxmlformats.org/officeDocument/2006/relationships/hyperlink" Target="http://vk.com/shefat" TargetMode="External"/><Relationship Id="rId31" Type="http://schemas.openxmlformats.org/officeDocument/2006/relationships/hyperlink" Target="http://vk.com/id183332969" TargetMode="External"/><Relationship Id="rId32" Type="http://schemas.openxmlformats.org/officeDocument/2006/relationships/hyperlink" Target="http://vk.com/pkeltsev" TargetMode="External"/><Relationship Id="rId33" Type="http://schemas.openxmlformats.org/officeDocument/2006/relationships/hyperlink" Target="http://vk.com/id209670944" TargetMode="External"/><Relationship Id="rId34" Type="http://schemas.openxmlformats.org/officeDocument/2006/relationships/hyperlink" Target="http://vk.com/id288643683" TargetMode="External"/><Relationship Id="rId35" Type="http://schemas.openxmlformats.org/officeDocument/2006/relationships/hyperlink" Target="http://vk.com/umnayshe4ka" TargetMode="External"/><Relationship Id="rId36" Type="http://schemas.openxmlformats.org/officeDocument/2006/relationships/hyperlink" Target="http://vk.com/ivan_vachev" TargetMode="External"/><Relationship Id="rId37" Type="http://schemas.openxmlformats.org/officeDocument/2006/relationships/hyperlink" Target="http://vk.com/zolotadmitriy" TargetMode="External"/><Relationship Id="rId38" Type="http://schemas.openxmlformats.org/officeDocument/2006/relationships/hyperlink" Target="http://vk.com/sevastyanp" TargetMode="External"/><Relationship Id="rId39" Type="http://schemas.openxmlformats.org/officeDocument/2006/relationships/hyperlink" Target="http://vk.com/luckea" TargetMode="External"/><Relationship Id="rId40" Type="http://schemas.openxmlformats.org/officeDocument/2006/relationships/hyperlink" Target="http://vk.com/yan_vyazem" TargetMode="External"/><Relationship Id="rId41" Type="http://schemas.openxmlformats.org/officeDocument/2006/relationships/hyperlink" Target="http://vk.com/id189704537" TargetMode="External"/><Relationship Id="rId42" Type="http://schemas.openxmlformats.org/officeDocument/2006/relationships/hyperlink" Target="http://vk.com/unfraid" TargetMode="External"/><Relationship Id="rId43" Type="http://schemas.openxmlformats.org/officeDocument/2006/relationships/hyperlink" Target="http://vk.com/georgela" TargetMode="External"/><Relationship Id="rId44" Type="http://schemas.openxmlformats.org/officeDocument/2006/relationships/hyperlink" Target="http://vk.com/id157847345" TargetMode="External"/><Relationship Id="rId45" Type="http://schemas.openxmlformats.org/officeDocument/2006/relationships/hyperlink" Target="http://vk.com/danil.ryabtsev" TargetMode="External"/><Relationship Id="rId46" Type="http://schemas.openxmlformats.org/officeDocument/2006/relationships/hyperlink" Target="http://vk.com/id136665279" TargetMode="External"/><Relationship Id="rId47" Type="http://schemas.openxmlformats.org/officeDocument/2006/relationships/hyperlink" Target="http://vk.com/werrewqr" TargetMode="External"/><Relationship Id="rId48" Type="http://schemas.openxmlformats.org/officeDocument/2006/relationships/hyperlink" Target="http://vk.com/idannromm" TargetMode="External"/><Relationship Id="rId49" Type="http://schemas.openxmlformats.org/officeDocument/2006/relationships/hyperlink" Target="https://vk.com/id243002488" TargetMode="External"/><Relationship Id="rId50" Type="http://schemas.openxmlformats.org/officeDocument/2006/relationships/hyperlink" Target="http://vk.com/obeloz" TargetMode="External"/><Relationship Id="rId51" Type="http://schemas.openxmlformats.org/officeDocument/2006/relationships/hyperlink" Target="http://vk.com/evverything_is_allowed" TargetMode="External"/><Relationship Id="rId52" Type="http://schemas.openxmlformats.org/officeDocument/2006/relationships/hyperlink" Target="http://vk.com/fogo_f" TargetMode="External"/><Relationship Id="rId53" Type="http://schemas.openxmlformats.org/officeDocument/2006/relationships/hyperlink" Target="http://vk.com/id377773056" TargetMode="External"/><Relationship Id="rId54" Type="http://schemas.openxmlformats.org/officeDocument/2006/relationships/hyperlink" Target="http://vk.com/id316784802" TargetMode="External"/><Relationship Id="rId55" Type="http://schemas.openxmlformats.org/officeDocument/2006/relationships/hyperlink" Target="http://vk.com/ekweis" TargetMode="External"/><Relationship Id="rId56" Type="http://schemas.openxmlformats.org/officeDocument/2006/relationships/hyperlink" Target="http://vk.com/m.arkushenko" TargetMode="External"/><Relationship Id="rId57" Type="http://schemas.openxmlformats.org/officeDocument/2006/relationships/hyperlink" Target="http://vk.com/agarbus2003" TargetMode="External"/><Relationship Id="rId58" Type="http://schemas.openxmlformats.org/officeDocument/2006/relationships/hyperlink" Target="http://vk.com/akushnareva2000" TargetMode="External"/><Relationship Id="rId59" Type="http://schemas.openxmlformats.org/officeDocument/2006/relationships/hyperlink" Target="http://vk.com/svandrith" TargetMode="External"/><Relationship Id="rId60" Type="http://schemas.openxmlformats.org/officeDocument/2006/relationships/hyperlink" Target="http://vk.com/id262530619" TargetMode="External"/><Relationship Id="rId61" Type="http://schemas.openxmlformats.org/officeDocument/2006/relationships/hyperlink" Target="http://vk.com/id269312243" TargetMode="External"/><Relationship Id="rId62" Type="http://schemas.openxmlformats.org/officeDocument/2006/relationships/hyperlink" Target="http://vk.com/id150796947" TargetMode="External"/><Relationship Id="rId63" Type="http://schemas.openxmlformats.org/officeDocument/2006/relationships/hyperlink" Target="http://vk.com/tanya080900" TargetMode="External"/><Relationship Id="rId64" Type="http://schemas.openxmlformats.org/officeDocument/2006/relationships/hyperlink" Target="http://vk.com/id163053104" TargetMode="External"/><Relationship Id="rId65" Type="http://schemas.openxmlformats.org/officeDocument/2006/relationships/hyperlink" Target="http://vk.com/id336544709" TargetMode="External"/><Relationship Id="rId66" Type="http://schemas.openxmlformats.org/officeDocument/2006/relationships/hyperlink" Target="http://vk.com/id149548495" TargetMode="External"/><Relationship Id="rId67" Type="http://schemas.openxmlformats.org/officeDocument/2006/relationships/hyperlink" Target="http://vk.com/id249818753" TargetMode="External"/><Relationship Id="rId68" Type="http://schemas.openxmlformats.org/officeDocument/2006/relationships/hyperlink" Target="http://vk.com/sergey80401" TargetMode="External"/><Relationship Id="rId69" Type="http://schemas.openxmlformats.org/officeDocument/2006/relationships/hyperlink" Target="http://vk.com/lololen.gobz" TargetMode="External"/><Relationship Id="rId70" Type="http://schemas.openxmlformats.org/officeDocument/2006/relationships/hyperlink" Target="http://vk.com/id383760243" TargetMode="External"/><Relationship Id="rId71" Type="http://schemas.openxmlformats.org/officeDocument/2006/relationships/hyperlink" Target="http://vk.com/id162562572" TargetMode="External"/><Relationship Id="rId72" Type="http://schemas.openxmlformats.org/officeDocument/2006/relationships/hyperlink" Target="http://vk.com/anna_dolgova2004" TargetMode="External"/><Relationship Id="rId73" Type="http://schemas.openxmlformats.org/officeDocument/2006/relationships/hyperlink" Target="http://vk.com/id153731120" TargetMode="External"/><Relationship Id="rId74" Type="http://schemas.openxmlformats.org/officeDocument/2006/relationships/hyperlink" Target="http://vk.com/demenkovalexey" TargetMode="External"/><Relationship Id="rId75" Type="http://schemas.openxmlformats.org/officeDocument/2006/relationships/hyperlink" Target="http://vk.com/d.rudskikh" TargetMode="External"/><Relationship Id="rId76" Type="http://schemas.openxmlformats.org/officeDocument/2006/relationships/hyperlink" Target="http://vk.com/id179533793" TargetMode="External"/><Relationship Id="rId77" Type="http://schemas.openxmlformats.org/officeDocument/2006/relationships/hyperlink" Target="http://vk.com/grichkoedova" TargetMode="External"/><Relationship Id="rId78" Type="http://schemas.openxmlformats.org/officeDocument/2006/relationships/hyperlink" Target="http://vk.com/juliarrrrrx" TargetMode="External"/><Relationship Id="rId79" Type="http://schemas.openxmlformats.org/officeDocument/2006/relationships/hyperlink" Target="http://vk.com/science_tk" TargetMode="External"/><Relationship Id="rId80" Type="http://schemas.openxmlformats.org/officeDocument/2006/relationships/hyperlink" Target="http://vk.com/id248288690" TargetMode="External"/><Relationship Id="rId81" Type="http://schemas.openxmlformats.org/officeDocument/2006/relationships/hyperlink" Target="http://vk.com/id352280379" TargetMode="External"/><Relationship Id="rId82" Type="http://schemas.openxmlformats.org/officeDocument/2006/relationships/hyperlink" Target="http://vk.com/vlicharovski" TargetMode="External"/><Relationship Id="rId83" Type="http://schemas.openxmlformats.org/officeDocument/2006/relationships/hyperlink" Target="http://vk.com/andrezolnikov" TargetMode="External"/><Relationship Id="rId84" Type="http://schemas.openxmlformats.org/officeDocument/2006/relationships/hyperlink" Target="http://vk.com/uhhkjg78ygh" TargetMode="External"/><Relationship Id="rId85" Type="http://schemas.openxmlformats.org/officeDocument/2006/relationships/hyperlink" Target="http://vk.com/vrnkvknn" TargetMode="External"/><Relationship Id="rId86" Type="http://schemas.openxmlformats.org/officeDocument/2006/relationships/hyperlink" Target="http://vk.com/ddp102f" TargetMode="External"/><Relationship Id="rId87" Type="http://schemas.openxmlformats.org/officeDocument/2006/relationships/hyperlink" Target="http://vk.com/mara.rina" TargetMode="External"/><Relationship Id="rId88" Type="http://schemas.openxmlformats.org/officeDocument/2006/relationships/hyperlink" Target="http://vk.com/id382406601" TargetMode="External"/><Relationship Id="rId89" Type="http://schemas.openxmlformats.org/officeDocument/2006/relationships/hyperlink" Target="http://vk.com/id403901742" TargetMode="External"/><Relationship Id="rId90" Type="http://schemas.openxmlformats.org/officeDocument/2006/relationships/hyperlink" Target="http://vk.com/id276675815" TargetMode="External"/><Relationship Id="rId91" Type="http://schemas.openxmlformats.org/officeDocument/2006/relationships/hyperlink" Target="http://vk.com/id186803102" TargetMode="External"/><Relationship Id="rId92" Type="http://schemas.openxmlformats.org/officeDocument/2006/relationships/hyperlink" Target="http://vk.com/aderkach2017" TargetMode="External"/><Relationship Id="rId93" Type="http://schemas.openxmlformats.org/officeDocument/2006/relationships/hyperlink" Target="http://vk.com/id172201719" TargetMode="External"/><Relationship Id="rId94" Type="http://schemas.openxmlformats.org/officeDocument/2006/relationships/hyperlink" Target="http://vk.com/sadmaris" TargetMode="External"/><Relationship Id="rId95" Type="http://schemas.openxmlformats.org/officeDocument/2006/relationships/hyperlink" Target="http://vk.com/id340132670" TargetMode="External"/><Relationship Id="rId96" Type="http://schemas.openxmlformats.org/officeDocument/2006/relationships/hyperlink" Target="http://vk.com/id189813664" TargetMode="External"/><Relationship Id="rId97" Type="http://schemas.openxmlformats.org/officeDocument/2006/relationships/hyperlink" Target="http://vk.com/id411925471" TargetMode="External"/><Relationship Id="rId98" Type="http://schemas.openxmlformats.org/officeDocument/2006/relationships/hyperlink" Target="http://vk.com/neko_murr" TargetMode="External"/><Relationship Id="rId99" Type="http://schemas.openxmlformats.org/officeDocument/2006/relationships/hyperlink" Target="http://vk.com/anna.kurbatova99" TargetMode="External"/><Relationship Id="rId100" Type="http://schemas.openxmlformats.org/officeDocument/2006/relationships/hyperlink" Target="http://vk.com/id312748553" TargetMode="External"/><Relationship Id="rId101" Type="http://schemas.openxmlformats.org/officeDocument/2006/relationships/hyperlink" Target="http://vk.com/lzheldak" TargetMode="External"/><Relationship Id="rId102" Type="http://schemas.openxmlformats.org/officeDocument/2006/relationships/hyperlink" Target="http://vk.com/username1908" TargetMode="External"/><Relationship Id="rId103" Type="http://schemas.openxmlformats.org/officeDocument/2006/relationships/drawing" Target="../drawings/drawing3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C1"/>
    </sheetView>
  </sheetViews>
  <sheetFormatPr defaultColWidth="14.4609375" defaultRowHeight="15.75" zeroHeight="false" outlineLevelRow="0" outlineLevelCol="0"/>
  <cols>
    <col collapsed="false" customWidth="true" hidden="false" outlineLevel="0" max="3" min="1" style="0" width="21.57"/>
    <col collapsed="false" customWidth="true" hidden="false" outlineLevel="0" max="4" min="4" style="0" width="12.43"/>
    <col collapsed="false" customWidth="true" hidden="false" outlineLevel="0" max="5" min="5" style="0" width="24"/>
    <col collapsed="false" customWidth="true" hidden="false" outlineLevel="0" max="6" min="6" style="0" width="59.57"/>
    <col collapsed="false" customWidth="true" hidden="false" outlineLevel="0" max="8" min="7" style="0" width="21.57"/>
    <col collapsed="false" customWidth="true" hidden="false" outlineLevel="0" max="9" min="9" style="0" width="26.13"/>
    <col collapsed="false" customWidth="true" hidden="false" outlineLevel="0" max="10" min="10" style="0" width="46.29"/>
    <col collapsed="false" customWidth="true" hidden="false" outlineLevel="0" max="16" min="11" style="0" width="21.57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.75" hidden="false" customHeight="false" outlineLevel="0" collapsed="false">
      <c r="A2" s="2" t="n">
        <v>43219.7789290972</v>
      </c>
      <c r="B2" s="1" t="s">
        <v>10</v>
      </c>
      <c r="C2" s="1" t="s">
        <v>11</v>
      </c>
      <c r="D2" s="1" t="n">
        <v>8</v>
      </c>
      <c r="E2" s="1" t="n">
        <v>98</v>
      </c>
      <c r="G2" s="3" t="s">
        <v>12</v>
      </c>
      <c r="H2" s="1" t="s">
        <v>13</v>
      </c>
      <c r="I2" s="1" t="s">
        <v>14</v>
      </c>
      <c r="J2" s="1" t="s">
        <v>15</v>
      </c>
    </row>
    <row r="3" customFormat="false" ht="15.75" hidden="false" customHeight="false" outlineLevel="0" collapsed="false">
      <c r="A3" s="2" t="n">
        <v>43219.7819177083</v>
      </c>
      <c r="B3" s="1" t="s">
        <v>16</v>
      </c>
      <c r="C3" s="1" t="s">
        <v>17</v>
      </c>
      <c r="D3" s="1" t="n">
        <v>10</v>
      </c>
      <c r="E3" s="1" t="s">
        <v>18</v>
      </c>
      <c r="F3" s="1" t="s">
        <v>19</v>
      </c>
      <c r="G3" s="3" t="s">
        <v>20</v>
      </c>
      <c r="H3" s="1" t="s">
        <v>21</v>
      </c>
      <c r="I3" s="1" t="s">
        <v>22</v>
      </c>
      <c r="J3" s="1" t="s">
        <v>23</v>
      </c>
    </row>
    <row r="4" customFormat="false" ht="15.75" hidden="false" customHeight="false" outlineLevel="0" collapsed="false">
      <c r="A4" s="2" t="n">
        <v>43219.7832667245</v>
      </c>
      <c r="B4" s="1" t="s">
        <v>24</v>
      </c>
      <c r="C4" s="1" t="s">
        <v>25</v>
      </c>
      <c r="D4" s="1" t="n">
        <v>9</v>
      </c>
      <c r="E4" s="1" t="s">
        <v>26</v>
      </c>
      <c r="G4" s="3" t="s">
        <v>27</v>
      </c>
      <c r="H4" s="1" t="s">
        <v>28</v>
      </c>
      <c r="I4" s="1" t="s">
        <v>29</v>
      </c>
      <c r="J4" s="1" t="s">
        <v>23</v>
      </c>
    </row>
    <row r="5" customFormat="false" ht="15.75" hidden="false" customHeight="false" outlineLevel="0" collapsed="false">
      <c r="A5" s="2" t="n">
        <v>43219.7867265278</v>
      </c>
      <c r="B5" s="1" t="s">
        <v>30</v>
      </c>
      <c r="C5" s="1" t="s">
        <v>31</v>
      </c>
      <c r="D5" s="1" t="n">
        <v>10</v>
      </c>
      <c r="E5" s="1" t="s">
        <v>32</v>
      </c>
      <c r="G5" s="3" t="s">
        <v>33</v>
      </c>
      <c r="H5" s="1" t="s">
        <v>34</v>
      </c>
      <c r="I5" s="1" t="s">
        <v>15</v>
      </c>
      <c r="J5" s="1" t="s">
        <v>22</v>
      </c>
      <c r="M5" s="0" t="n">
        <f aca="false">COUNTIF('Переформатированный ответ'!E2:E103, "=117")</f>
        <v>44</v>
      </c>
    </row>
    <row r="6" customFormat="false" ht="15.75" hidden="false" customHeight="false" outlineLevel="0" collapsed="false">
      <c r="A6" s="2" t="n">
        <v>43219.7883524653</v>
      </c>
      <c r="B6" s="1" t="s">
        <v>35</v>
      </c>
      <c r="C6" s="1" t="s">
        <v>36</v>
      </c>
      <c r="D6" s="1" t="n">
        <v>9</v>
      </c>
      <c r="E6" s="1" t="s">
        <v>37</v>
      </c>
      <c r="G6" s="3" t="s">
        <v>38</v>
      </c>
      <c r="H6" s="1" t="s">
        <v>39</v>
      </c>
      <c r="I6" s="1" t="s">
        <v>40</v>
      </c>
      <c r="J6" s="1" t="s">
        <v>23</v>
      </c>
    </row>
    <row r="7" customFormat="false" ht="15.75" hidden="false" customHeight="false" outlineLevel="0" collapsed="false">
      <c r="A7" s="2" t="n">
        <v>43219.7887197569</v>
      </c>
      <c r="B7" s="1" t="s">
        <v>41</v>
      </c>
      <c r="C7" s="1" t="s">
        <v>42</v>
      </c>
      <c r="D7" s="1" t="n">
        <v>9</v>
      </c>
      <c r="E7" s="1" t="n">
        <v>51</v>
      </c>
      <c r="G7" s="1" t="s">
        <v>43</v>
      </c>
      <c r="H7" s="1" t="s">
        <v>44</v>
      </c>
      <c r="I7" s="1" t="s">
        <v>29</v>
      </c>
      <c r="J7" s="1" t="s">
        <v>45</v>
      </c>
    </row>
    <row r="8" customFormat="false" ht="15.75" hidden="false" customHeight="false" outlineLevel="0" collapsed="false">
      <c r="A8" s="2" t="n">
        <v>43219.7911865509</v>
      </c>
      <c r="B8" s="1" t="s">
        <v>46</v>
      </c>
      <c r="C8" s="1" t="s">
        <v>47</v>
      </c>
      <c r="D8" s="1" t="n">
        <v>8</v>
      </c>
      <c r="E8" s="1" t="s">
        <v>37</v>
      </c>
      <c r="G8" s="3" t="s">
        <v>48</v>
      </c>
      <c r="H8" s="1" t="s">
        <v>49</v>
      </c>
      <c r="I8" s="1" t="s">
        <v>50</v>
      </c>
      <c r="J8" s="1" t="s">
        <v>51</v>
      </c>
    </row>
    <row r="9" customFormat="false" ht="15.75" hidden="false" customHeight="false" outlineLevel="0" collapsed="false">
      <c r="A9" s="2" t="n">
        <v>43219.7919064005</v>
      </c>
      <c r="B9" s="1" t="s">
        <v>52</v>
      </c>
      <c r="C9" s="1" t="s">
        <v>53</v>
      </c>
      <c r="D9" s="1" t="n">
        <v>8</v>
      </c>
      <c r="E9" s="1" t="n">
        <v>117</v>
      </c>
      <c r="G9" s="3" t="s">
        <v>54</v>
      </c>
      <c r="H9" s="1" t="s">
        <v>55</v>
      </c>
      <c r="I9" s="1" t="s">
        <v>14</v>
      </c>
      <c r="J9" s="1" t="s">
        <v>15</v>
      </c>
    </row>
    <row r="10" customFormat="false" ht="15.75" hidden="false" customHeight="false" outlineLevel="0" collapsed="false">
      <c r="A10" s="2" t="n">
        <v>43219.7930036806</v>
      </c>
      <c r="B10" s="1" t="s">
        <v>56</v>
      </c>
      <c r="C10" s="1" t="s">
        <v>57</v>
      </c>
      <c r="D10" s="1" t="n">
        <v>10</v>
      </c>
      <c r="E10" s="1" t="n">
        <v>149</v>
      </c>
      <c r="G10" s="3" t="s">
        <v>58</v>
      </c>
      <c r="H10" s="1" t="s">
        <v>59</v>
      </c>
      <c r="I10" s="1" t="s">
        <v>29</v>
      </c>
      <c r="J10" s="1" t="s">
        <v>23</v>
      </c>
    </row>
    <row r="11" customFormat="false" ht="15.75" hidden="false" customHeight="false" outlineLevel="0" collapsed="false">
      <c r="A11" s="2" t="n">
        <v>43219.7944161574</v>
      </c>
      <c r="B11" s="1" t="s">
        <v>60</v>
      </c>
      <c r="C11" s="1" t="s">
        <v>61</v>
      </c>
      <c r="D11" s="1" t="n">
        <v>9</v>
      </c>
      <c r="E11" s="1" t="s">
        <v>37</v>
      </c>
      <c r="F11" s="1" t="s">
        <v>62</v>
      </c>
      <c r="G11" s="3" t="s">
        <v>63</v>
      </c>
      <c r="H11" s="1" t="s">
        <v>64</v>
      </c>
      <c r="I11" s="1" t="s">
        <v>14</v>
      </c>
      <c r="J11" s="1" t="s">
        <v>65</v>
      </c>
    </row>
    <row r="12" customFormat="false" ht="15.75" hidden="false" customHeight="false" outlineLevel="0" collapsed="false">
      <c r="A12" s="2" t="n">
        <v>43219.7934564005</v>
      </c>
      <c r="B12" s="1" t="s">
        <v>66</v>
      </c>
      <c r="C12" s="1" t="s">
        <v>67</v>
      </c>
      <c r="D12" s="1" t="n">
        <v>11</v>
      </c>
      <c r="E12" s="1" t="n">
        <v>117</v>
      </c>
      <c r="G12" s="3" t="s">
        <v>68</v>
      </c>
      <c r="H12" s="1" t="s">
        <v>69</v>
      </c>
      <c r="I12" s="1" t="s">
        <v>70</v>
      </c>
      <c r="J12" s="1" t="s">
        <v>51</v>
      </c>
    </row>
    <row r="13" customFormat="false" ht="15.75" hidden="false" customHeight="false" outlineLevel="0" collapsed="false">
      <c r="A13" s="2" t="n">
        <v>43219.7964826852</v>
      </c>
      <c r="B13" s="1" t="s">
        <v>52</v>
      </c>
      <c r="C13" s="1" t="s">
        <v>71</v>
      </c>
      <c r="D13" s="1" t="n">
        <v>8</v>
      </c>
      <c r="E13" s="1" t="s">
        <v>72</v>
      </c>
      <c r="F13" s="1" t="s">
        <v>73</v>
      </c>
      <c r="G13" s="1" t="s">
        <v>43</v>
      </c>
      <c r="H13" s="1" t="s">
        <v>74</v>
      </c>
      <c r="I13" s="1" t="s">
        <v>14</v>
      </c>
      <c r="J13" s="1" t="s">
        <v>15</v>
      </c>
    </row>
    <row r="14" customFormat="false" ht="15.75" hidden="false" customHeight="false" outlineLevel="0" collapsed="false">
      <c r="A14" s="2" t="n">
        <v>43219.7961436458</v>
      </c>
      <c r="B14" s="1" t="s">
        <v>75</v>
      </c>
      <c r="C14" s="1" t="s">
        <v>76</v>
      </c>
      <c r="D14" s="1" t="n">
        <v>9</v>
      </c>
      <c r="E14" s="1" t="s">
        <v>77</v>
      </c>
      <c r="G14" s="3" t="s">
        <v>78</v>
      </c>
      <c r="H14" s="1" t="s">
        <v>79</v>
      </c>
      <c r="I14" s="1" t="s">
        <v>80</v>
      </c>
      <c r="J14" s="1" t="s">
        <v>45</v>
      </c>
    </row>
    <row r="15" customFormat="false" ht="15.75" hidden="false" customHeight="false" outlineLevel="0" collapsed="false">
      <c r="A15" s="2" t="n">
        <v>43219.7965105671</v>
      </c>
      <c r="B15" s="1" t="s">
        <v>81</v>
      </c>
      <c r="C15" s="1" t="s">
        <v>61</v>
      </c>
      <c r="D15" s="1" t="n">
        <v>9</v>
      </c>
      <c r="E15" s="1" t="s">
        <v>82</v>
      </c>
      <c r="G15" s="3" t="s">
        <v>83</v>
      </c>
      <c r="H15" s="1" t="s">
        <v>84</v>
      </c>
      <c r="I15" s="1" t="s">
        <v>50</v>
      </c>
      <c r="J15" s="1" t="s">
        <v>85</v>
      </c>
    </row>
    <row r="16" customFormat="false" ht="15.75" hidden="false" customHeight="false" outlineLevel="0" collapsed="false">
      <c r="A16" s="2" t="n">
        <v>43219.803508287</v>
      </c>
      <c r="B16" s="1" t="s">
        <v>86</v>
      </c>
      <c r="C16" s="1" t="s">
        <v>87</v>
      </c>
      <c r="D16" s="1" t="n">
        <v>8</v>
      </c>
      <c r="E16" s="1" t="s">
        <v>37</v>
      </c>
      <c r="F16" s="1" t="s">
        <v>88</v>
      </c>
      <c r="G16" s="3" t="s">
        <v>89</v>
      </c>
      <c r="H16" s="1" t="s">
        <v>90</v>
      </c>
      <c r="I16" s="1" t="s">
        <v>14</v>
      </c>
      <c r="J16" s="1" t="s">
        <v>65</v>
      </c>
    </row>
    <row r="17" customFormat="false" ht="15.75" hidden="false" customHeight="false" outlineLevel="0" collapsed="false">
      <c r="A17" s="2" t="n">
        <v>43219.8043655903</v>
      </c>
      <c r="B17" s="1" t="s">
        <v>91</v>
      </c>
      <c r="C17" s="1" t="s">
        <v>92</v>
      </c>
      <c r="D17" s="1" t="n">
        <v>11</v>
      </c>
      <c r="E17" s="1" t="s">
        <v>93</v>
      </c>
      <c r="G17" s="3" t="s">
        <v>94</v>
      </c>
      <c r="H17" s="1" t="s">
        <v>95</v>
      </c>
      <c r="I17" s="1" t="s">
        <v>50</v>
      </c>
      <c r="J17" s="1" t="s">
        <v>23</v>
      </c>
    </row>
    <row r="18" customFormat="false" ht="15.75" hidden="false" customHeight="false" outlineLevel="0" collapsed="false">
      <c r="A18" s="2" t="n">
        <v>43219.8045988079</v>
      </c>
      <c r="B18" s="1" t="s">
        <v>96</v>
      </c>
      <c r="C18" s="1" t="s">
        <v>97</v>
      </c>
      <c r="D18" s="1" t="n">
        <v>10</v>
      </c>
      <c r="E18" s="1" t="s">
        <v>37</v>
      </c>
      <c r="G18" s="3" t="s">
        <v>98</v>
      </c>
      <c r="H18" s="1" t="s">
        <v>99</v>
      </c>
      <c r="I18" s="1" t="s">
        <v>14</v>
      </c>
      <c r="J18" s="1" t="s">
        <v>85</v>
      </c>
    </row>
    <row r="19" customFormat="false" ht="15.75" hidden="false" customHeight="false" outlineLevel="0" collapsed="false">
      <c r="A19" s="2" t="n">
        <v>43219.8051531366</v>
      </c>
      <c r="B19" s="1" t="s">
        <v>52</v>
      </c>
      <c r="C19" s="1" t="s">
        <v>53</v>
      </c>
      <c r="D19" s="1" t="n">
        <v>8</v>
      </c>
      <c r="E19" s="1" t="n">
        <v>117</v>
      </c>
      <c r="G19" s="1" t="s">
        <v>43</v>
      </c>
      <c r="H19" s="1" t="s">
        <v>100</v>
      </c>
      <c r="I19" s="4" t="s">
        <v>22</v>
      </c>
      <c r="J19" s="1" t="s">
        <v>15</v>
      </c>
    </row>
    <row r="20" customFormat="false" ht="15.75" hidden="false" customHeight="false" outlineLevel="0" collapsed="false">
      <c r="A20" s="2" t="n">
        <v>43219.8073304051</v>
      </c>
      <c r="B20" s="1" t="s">
        <v>101</v>
      </c>
      <c r="C20" s="1" t="s">
        <v>102</v>
      </c>
      <c r="D20" s="1" t="n">
        <v>10</v>
      </c>
      <c r="E20" s="1" t="s">
        <v>103</v>
      </c>
      <c r="G20" s="3" t="s">
        <v>104</v>
      </c>
      <c r="H20" s="1" t="s">
        <v>105</v>
      </c>
      <c r="I20" s="1" t="s">
        <v>50</v>
      </c>
      <c r="J20" s="1" t="s">
        <v>40</v>
      </c>
    </row>
    <row r="21" customFormat="false" ht="15.75" hidden="false" customHeight="false" outlineLevel="0" collapsed="false">
      <c r="A21" s="2" t="n">
        <v>43219.8089802083</v>
      </c>
      <c r="B21" s="1" t="s">
        <v>106</v>
      </c>
      <c r="C21" s="1" t="s">
        <v>36</v>
      </c>
      <c r="D21" s="1" t="n">
        <v>10</v>
      </c>
      <c r="E21" s="1" t="n">
        <v>64</v>
      </c>
      <c r="G21" s="3" t="s">
        <v>107</v>
      </c>
      <c r="H21" s="1" t="s">
        <v>108</v>
      </c>
      <c r="I21" s="1" t="s">
        <v>14</v>
      </c>
      <c r="J21" s="1" t="s">
        <v>109</v>
      </c>
    </row>
    <row r="22" customFormat="false" ht="15.75" hidden="false" customHeight="false" outlineLevel="0" collapsed="false">
      <c r="A22" s="2" t="n">
        <v>43219.8089916898</v>
      </c>
      <c r="B22" s="1" t="s">
        <v>110</v>
      </c>
      <c r="C22" s="1" t="s">
        <v>25</v>
      </c>
      <c r="D22" s="1" t="n">
        <v>10</v>
      </c>
      <c r="E22" s="1" t="s">
        <v>111</v>
      </c>
      <c r="G22" s="3" t="s">
        <v>112</v>
      </c>
      <c r="H22" s="1" t="s">
        <v>113</v>
      </c>
      <c r="I22" s="1" t="s">
        <v>14</v>
      </c>
      <c r="J22" s="1" t="s">
        <v>109</v>
      </c>
    </row>
    <row r="23" customFormat="false" ht="15.75" hidden="false" customHeight="false" outlineLevel="0" collapsed="false">
      <c r="A23" s="2" t="n">
        <v>43219.8159247685</v>
      </c>
      <c r="B23" s="1" t="s">
        <v>114</v>
      </c>
      <c r="C23" s="1" t="s">
        <v>115</v>
      </c>
      <c r="D23" s="1" t="n">
        <v>7</v>
      </c>
      <c r="E23" s="1" t="s">
        <v>116</v>
      </c>
      <c r="G23" s="3" t="s">
        <v>117</v>
      </c>
      <c r="H23" s="1" t="s">
        <v>118</v>
      </c>
      <c r="I23" s="1" t="s">
        <v>50</v>
      </c>
      <c r="J23" s="1" t="s">
        <v>40</v>
      </c>
    </row>
    <row r="24" customFormat="false" ht="15.75" hidden="false" customHeight="false" outlineLevel="0" collapsed="false">
      <c r="A24" s="2" t="n">
        <v>43219.816239919</v>
      </c>
      <c r="B24" s="1" t="s">
        <v>119</v>
      </c>
      <c r="C24" s="1" t="s">
        <v>120</v>
      </c>
      <c r="D24" s="1" t="n">
        <v>10</v>
      </c>
      <c r="E24" s="1" t="n">
        <v>149</v>
      </c>
      <c r="G24" s="3" t="s">
        <v>121</v>
      </c>
      <c r="H24" s="1" t="s">
        <v>122</v>
      </c>
      <c r="I24" s="1" t="s">
        <v>80</v>
      </c>
      <c r="J24" s="1" t="s">
        <v>45</v>
      </c>
    </row>
    <row r="25" customFormat="false" ht="15.75" hidden="false" customHeight="false" outlineLevel="0" collapsed="false">
      <c r="A25" s="2" t="n">
        <v>43219.8169036343</v>
      </c>
      <c r="B25" s="1" t="s">
        <v>123</v>
      </c>
      <c r="C25" s="1" t="s">
        <v>124</v>
      </c>
      <c r="D25" s="1" t="n">
        <v>8</v>
      </c>
      <c r="E25" s="1" t="s">
        <v>125</v>
      </c>
      <c r="G25" s="3" t="s">
        <v>126</v>
      </c>
      <c r="H25" s="1" t="s">
        <v>127</v>
      </c>
      <c r="I25" s="1" t="s">
        <v>29</v>
      </c>
      <c r="J25" s="1" t="s">
        <v>128</v>
      </c>
    </row>
    <row r="26" customFormat="false" ht="15.75" hidden="false" customHeight="false" outlineLevel="0" collapsed="false">
      <c r="A26" s="2" t="n">
        <v>43219.8170103009</v>
      </c>
      <c r="B26" s="1" t="s">
        <v>129</v>
      </c>
      <c r="C26" s="1" t="s">
        <v>130</v>
      </c>
      <c r="D26" s="1" t="n">
        <v>10</v>
      </c>
      <c r="E26" s="1" t="s">
        <v>131</v>
      </c>
      <c r="G26" s="3" t="s">
        <v>132</v>
      </c>
      <c r="H26" s="1" t="s">
        <v>133</v>
      </c>
      <c r="I26" s="1" t="s">
        <v>14</v>
      </c>
      <c r="J26" s="1" t="s">
        <v>109</v>
      </c>
    </row>
    <row r="27" customFormat="false" ht="15.75" hidden="false" customHeight="false" outlineLevel="0" collapsed="false">
      <c r="A27" s="2" t="n">
        <v>43219.8288116204</v>
      </c>
      <c r="B27" s="1" t="s">
        <v>134</v>
      </c>
      <c r="C27" s="1" t="s">
        <v>135</v>
      </c>
      <c r="D27" s="1" t="n">
        <v>9</v>
      </c>
      <c r="E27" s="1" t="n">
        <v>117</v>
      </c>
      <c r="G27" s="3" t="s">
        <v>136</v>
      </c>
      <c r="H27" s="1" t="s">
        <v>137</v>
      </c>
      <c r="I27" s="1" t="s">
        <v>50</v>
      </c>
      <c r="J27" s="1" t="s">
        <v>22</v>
      </c>
    </row>
    <row r="28" customFormat="false" ht="15.75" hidden="false" customHeight="false" outlineLevel="0" collapsed="false">
      <c r="A28" s="2" t="n">
        <v>43219.8291390162</v>
      </c>
      <c r="B28" s="1" t="s">
        <v>138</v>
      </c>
      <c r="C28" s="1" t="s">
        <v>139</v>
      </c>
      <c r="D28" s="1" t="n">
        <v>10</v>
      </c>
      <c r="E28" s="1" t="s">
        <v>140</v>
      </c>
      <c r="G28" s="3" t="s">
        <v>141</v>
      </c>
      <c r="H28" s="1" t="s">
        <v>142</v>
      </c>
      <c r="I28" s="1" t="s">
        <v>14</v>
      </c>
      <c r="J28" s="1" t="s">
        <v>65</v>
      </c>
    </row>
    <row r="29" customFormat="false" ht="15.75" hidden="false" customHeight="false" outlineLevel="0" collapsed="false">
      <c r="A29" s="2" t="n">
        <v>43219.8299725</v>
      </c>
      <c r="B29" s="1" t="s">
        <v>143</v>
      </c>
      <c r="C29" s="1" t="s">
        <v>144</v>
      </c>
      <c r="D29" s="1" t="n">
        <v>8</v>
      </c>
      <c r="E29" s="1" t="s">
        <v>145</v>
      </c>
      <c r="G29" s="3" t="s">
        <v>146</v>
      </c>
      <c r="H29" s="1" t="s">
        <v>147</v>
      </c>
      <c r="I29" s="1" t="s">
        <v>40</v>
      </c>
      <c r="J29" s="1" t="s">
        <v>148</v>
      </c>
    </row>
    <row r="30" customFormat="false" ht="15.75" hidden="false" customHeight="false" outlineLevel="0" collapsed="false">
      <c r="A30" s="2" t="n">
        <v>43219.8313036227</v>
      </c>
      <c r="B30" s="1" t="s">
        <v>149</v>
      </c>
      <c r="C30" s="1" t="s">
        <v>150</v>
      </c>
      <c r="D30" s="1" t="n">
        <v>11</v>
      </c>
      <c r="E30" s="1" t="s">
        <v>151</v>
      </c>
      <c r="G30" s="3" t="s">
        <v>152</v>
      </c>
      <c r="H30" s="1" t="s">
        <v>153</v>
      </c>
      <c r="I30" s="1" t="s">
        <v>22</v>
      </c>
      <c r="J30" s="1" t="s">
        <v>22</v>
      </c>
    </row>
    <row r="31" customFormat="false" ht="15.75" hidden="false" customHeight="false" outlineLevel="0" collapsed="false">
      <c r="A31" s="2" t="n">
        <v>43219.8345678819</v>
      </c>
      <c r="B31" s="1" t="s">
        <v>154</v>
      </c>
      <c r="C31" s="1" t="s">
        <v>155</v>
      </c>
      <c r="D31" s="1" t="n">
        <v>10</v>
      </c>
      <c r="E31" s="1" t="s">
        <v>156</v>
      </c>
      <c r="F31" s="1" t="s">
        <v>157</v>
      </c>
      <c r="G31" s="3" t="s">
        <v>158</v>
      </c>
      <c r="H31" s="1" t="s">
        <v>159</v>
      </c>
      <c r="I31" s="1" t="s">
        <v>40</v>
      </c>
      <c r="J31" s="1" t="s">
        <v>109</v>
      </c>
    </row>
    <row r="32" customFormat="false" ht="15.75" hidden="false" customHeight="false" outlineLevel="0" collapsed="false">
      <c r="A32" s="2" t="n">
        <v>43219.8390176389</v>
      </c>
      <c r="B32" s="1" t="s">
        <v>160</v>
      </c>
      <c r="C32" s="1" t="s">
        <v>161</v>
      </c>
      <c r="D32" s="1" t="n">
        <v>10</v>
      </c>
      <c r="E32" s="1" t="n">
        <v>64</v>
      </c>
      <c r="G32" s="3" t="s">
        <v>162</v>
      </c>
      <c r="H32" s="1" t="s">
        <v>163</v>
      </c>
      <c r="I32" s="1" t="s">
        <v>14</v>
      </c>
      <c r="J32" s="1" t="s">
        <v>85</v>
      </c>
    </row>
    <row r="33" customFormat="false" ht="15.75" hidden="false" customHeight="false" outlineLevel="0" collapsed="false">
      <c r="A33" s="2" t="n">
        <v>43219.8391704051</v>
      </c>
      <c r="B33" s="1" t="s">
        <v>164</v>
      </c>
      <c r="C33" s="1" t="s">
        <v>31</v>
      </c>
      <c r="D33" s="1" t="n">
        <v>8</v>
      </c>
      <c r="E33" s="1" t="s">
        <v>165</v>
      </c>
      <c r="G33" s="3" t="s">
        <v>166</v>
      </c>
      <c r="H33" s="1" t="s">
        <v>167</v>
      </c>
      <c r="I33" s="1" t="s">
        <v>15</v>
      </c>
      <c r="J33" s="1" t="s">
        <v>22</v>
      </c>
    </row>
    <row r="34" customFormat="false" ht="15.75" hidden="false" customHeight="false" outlineLevel="0" collapsed="false">
      <c r="A34" s="2" t="n">
        <v>43219.8395610533</v>
      </c>
      <c r="B34" s="1" t="s">
        <v>168</v>
      </c>
      <c r="C34" s="1" t="s">
        <v>169</v>
      </c>
      <c r="D34" s="1" t="n">
        <v>11</v>
      </c>
      <c r="E34" s="1" t="s">
        <v>170</v>
      </c>
      <c r="G34" s="3" t="s">
        <v>171</v>
      </c>
      <c r="H34" s="1" t="s">
        <v>172</v>
      </c>
      <c r="I34" s="1" t="s">
        <v>14</v>
      </c>
      <c r="J34" s="1" t="s">
        <v>85</v>
      </c>
    </row>
    <row r="35" customFormat="false" ht="15.75" hidden="false" customHeight="false" outlineLevel="0" collapsed="false">
      <c r="A35" s="2" t="n">
        <v>43219.8409502315</v>
      </c>
      <c r="B35" s="1" t="s">
        <v>154</v>
      </c>
      <c r="C35" s="1" t="s">
        <v>173</v>
      </c>
      <c r="D35" s="1" t="n">
        <v>7</v>
      </c>
      <c r="E35" s="1" t="n">
        <v>66</v>
      </c>
      <c r="F35" s="1" t="n">
        <v>66</v>
      </c>
      <c r="G35" s="3" t="s">
        <v>174</v>
      </c>
      <c r="H35" s="1" t="s">
        <v>175</v>
      </c>
      <c r="I35" s="1" t="s">
        <v>50</v>
      </c>
      <c r="J35" s="1" t="s">
        <v>85</v>
      </c>
    </row>
    <row r="36" customFormat="false" ht="15.75" hidden="false" customHeight="false" outlineLevel="0" collapsed="false">
      <c r="A36" s="2" t="n">
        <v>43219.8428541898</v>
      </c>
      <c r="B36" s="1" t="s">
        <v>176</v>
      </c>
      <c r="C36" s="1" t="s">
        <v>155</v>
      </c>
      <c r="D36" s="1" t="n">
        <v>10</v>
      </c>
      <c r="E36" s="1" t="s">
        <v>177</v>
      </c>
      <c r="G36" s="3" t="s">
        <v>178</v>
      </c>
      <c r="H36" s="1" t="s">
        <v>179</v>
      </c>
      <c r="I36" s="1" t="s">
        <v>50</v>
      </c>
      <c r="J36" s="1" t="s">
        <v>40</v>
      </c>
    </row>
    <row r="37" customFormat="false" ht="15.75" hidden="false" customHeight="false" outlineLevel="0" collapsed="false">
      <c r="A37" s="2" t="n">
        <v>43219.8444911806</v>
      </c>
      <c r="B37" s="1" t="s">
        <v>101</v>
      </c>
      <c r="C37" s="1" t="s">
        <v>102</v>
      </c>
      <c r="D37" s="1" t="n">
        <v>10</v>
      </c>
      <c r="E37" s="1" t="s">
        <v>103</v>
      </c>
      <c r="G37" s="3" t="s">
        <v>104</v>
      </c>
      <c r="H37" s="1" t="s">
        <v>105</v>
      </c>
      <c r="I37" s="1" t="s">
        <v>180</v>
      </c>
      <c r="J37" s="1" t="s">
        <v>29</v>
      </c>
    </row>
    <row r="38" customFormat="false" ht="15.75" hidden="false" customHeight="false" outlineLevel="0" collapsed="false">
      <c r="A38" s="2" t="n">
        <v>43219.8451252083</v>
      </c>
      <c r="B38" s="1" t="s">
        <v>181</v>
      </c>
      <c r="C38" s="1" t="s">
        <v>182</v>
      </c>
      <c r="D38" s="1" t="n">
        <v>11</v>
      </c>
      <c r="E38" s="1" t="s">
        <v>183</v>
      </c>
      <c r="G38" s="3" t="s">
        <v>184</v>
      </c>
      <c r="H38" s="1" t="s">
        <v>185</v>
      </c>
      <c r="I38" s="1" t="s">
        <v>50</v>
      </c>
      <c r="J38" s="1" t="s">
        <v>15</v>
      </c>
    </row>
    <row r="39" customFormat="false" ht="15.75" hidden="false" customHeight="false" outlineLevel="0" collapsed="false">
      <c r="A39" s="2" t="n">
        <v>43219.8456938657</v>
      </c>
      <c r="B39" s="1" t="s">
        <v>186</v>
      </c>
      <c r="C39" s="1" t="s">
        <v>97</v>
      </c>
      <c r="D39" s="1" t="n">
        <v>8</v>
      </c>
      <c r="E39" s="1" t="s">
        <v>187</v>
      </c>
      <c r="G39" s="3" t="s">
        <v>188</v>
      </c>
      <c r="H39" s="1" t="s">
        <v>189</v>
      </c>
      <c r="I39" s="1" t="s">
        <v>14</v>
      </c>
      <c r="J39" s="1" t="s">
        <v>40</v>
      </c>
    </row>
    <row r="40" customFormat="false" ht="15.75" hidden="false" customHeight="false" outlineLevel="0" collapsed="false">
      <c r="A40" s="2" t="n">
        <v>43219.8471419907</v>
      </c>
      <c r="B40" s="1" t="s">
        <v>129</v>
      </c>
      <c r="C40" s="1" t="s">
        <v>190</v>
      </c>
      <c r="D40" s="1" t="n">
        <v>10</v>
      </c>
      <c r="E40" s="1" t="s">
        <v>191</v>
      </c>
      <c r="G40" s="3" t="s">
        <v>192</v>
      </c>
      <c r="H40" s="1" t="s">
        <v>193</v>
      </c>
      <c r="I40" s="1" t="s">
        <v>50</v>
      </c>
      <c r="J40" s="1" t="s">
        <v>40</v>
      </c>
    </row>
    <row r="41" customFormat="false" ht="15.75" hidden="false" customHeight="false" outlineLevel="0" collapsed="false">
      <c r="A41" s="2" t="n">
        <v>43219.8475952546</v>
      </c>
      <c r="B41" s="1" t="s">
        <v>194</v>
      </c>
      <c r="C41" s="1" t="s">
        <v>195</v>
      </c>
      <c r="D41" s="1" t="n">
        <v>10</v>
      </c>
      <c r="E41" s="1" t="n">
        <v>149</v>
      </c>
      <c r="G41" s="3" t="s">
        <v>196</v>
      </c>
      <c r="H41" s="1" t="s">
        <v>197</v>
      </c>
      <c r="I41" s="1" t="s">
        <v>50</v>
      </c>
      <c r="J41" s="1" t="s">
        <v>29</v>
      </c>
    </row>
    <row r="42" customFormat="false" ht="15.75" hidden="false" customHeight="false" outlineLevel="0" collapsed="false">
      <c r="A42" s="2" t="n">
        <v>43223.7421923032</v>
      </c>
      <c r="B42" s="1" t="s">
        <v>198</v>
      </c>
      <c r="C42" s="1" t="s">
        <v>199</v>
      </c>
      <c r="D42" s="1" t="n">
        <v>9</v>
      </c>
      <c r="E42" s="1" t="s">
        <v>200</v>
      </c>
      <c r="G42" s="3" t="s">
        <v>201</v>
      </c>
      <c r="H42" s="1" t="s">
        <v>202</v>
      </c>
      <c r="I42" s="1" t="s">
        <v>51</v>
      </c>
      <c r="J42" s="1" t="s">
        <v>85</v>
      </c>
    </row>
    <row r="43" customFormat="false" ht="15.75" hidden="false" customHeight="false" outlineLevel="0" collapsed="false">
      <c r="A43" s="2" t="n">
        <v>43219.8493428588</v>
      </c>
      <c r="B43" s="1" t="s">
        <v>154</v>
      </c>
      <c r="C43" s="1" t="s">
        <v>155</v>
      </c>
      <c r="D43" s="1" t="n">
        <v>10</v>
      </c>
      <c r="E43" s="1" t="s">
        <v>203</v>
      </c>
      <c r="G43" s="3" t="s">
        <v>158</v>
      </c>
      <c r="H43" s="1" t="s">
        <v>159</v>
      </c>
      <c r="I43" s="1" t="s">
        <v>40</v>
      </c>
      <c r="J43" s="1" t="s">
        <v>109</v>
      </c>
    </row>
    <row r="44" customFormat="false" ht="15.75" hidden="false" customHeight="false" outlineLevel="0" collapsed="false">
      <c r="A44" s="2" t="n">
        <v>43219.8547501736</v>
      </c>
      <c r="B44" s="1" t="s">
        <v>204</v>
      </c>
      <c r="C44" s="1" t="s">
        <v>199</v>
      </c>
      <c r="D44" s="1" t="n">
        <v>10</v>
      </c>
      <c r="E44" s="1" t="s">
        <v>205</v>
      </c>
      <c r="G44" s="3" t="s">
        <v>206</v>
      </c>
      <c r="H44" s="1" t="s">
        <v>207</v>
      </c>
      <c r="I44" s="1" t="s">
        <v>40</v>
      </c>
      <c r="J44" s="1" t="s">
        <v>29</v>
      </c>
    </row>
    <row r="45" customFormat="false" ht="15.75" hidden="false" customHeight="false" outlineLevel="0" collapsed="false">
      <c r="A45" s="2" t="n">
        <v>43219.863468912</v>
      </c>
      <c r="B45" s="1" t="s">
        <v>134</v>
      </c>
      <c r="C45" s="1" t="s">
        <v>135</v>
      </c>
      <c r="D45" s="1" t="n">
        <v>9</v>
      </c>
      <c r="E45" s="1" t="s">
        <v>125</v>
      </c>
      <c r="G45" s="3" t="s">
        <v>136</v>
      </c>
      <c r="H45" s="1" t="s">
        <v>208</v>
      </c>
      <c r="I45" s="1" t="s">
        <v>50</v>
      </c>
      <c r="J45" s="1" t="s">
        <v>22</v>
      </c>
    </row>
    <row r="46" customFormat="false" ht="15.75" hidden="false" customHeight="false" outlineLevel="0" collapsed="false">
      <c r="A46" s="2" t="n">
        <v>43219.8656752083</v>
      </c>
      <c r="B46" s="1" t="s">
        <v>209</v>
      </c>
      <c r="C46" s="1" t="s">
        <v>210</v>
      </c>
      <c r="D46" s="1" t="n">
        <v>7</v>
      </c>
      <c r="E46" s="1" t="s">
        <v>211</v>
      </c>
      <c r="G46" s="3" t="s">
        <v>212</v>
      </c>
      <c r="H46" s="1" t="s">
        <v>213</v>
      </c>
      <c r="I46" s="1" t="s">
        <v>148</v>
      </c>
      <c r="J46" s="1" t="s">
        <v>40</v>
      </c>
    </row>
    <row r="47" customFormat="false" ht="15.75" hidden="false" customHeight="false" outlineLevel="0" collapsed="false">
      <c r="A47" s="2" t="n">
        <v>43219.8735236227</v>
      </c>
      <c r="B47" s="1" t="s">
        <v>214</v>
      </c>
      <c r="C47" s="1" t="s">
        <v>215</v>
      </c>
      <c r="D47" s="1" t="n">
        <v>7</v>
      </c>
      <c r="E47" s="1" t="n">
        <v>117</v>
      </c>
      <c r="G47" s="1" t="s">
        <v>43</v>
      </c>
      <c r="H47" s="1" t="s">
        <v>216</v>
      </c>
      <c r="I47" s="1" t="s">
        <v>14</v>
      </c>
      <c r="J47" s="1" t="s">
        <v>65</v>
      </c>
    </row>
    <row r="48" customFormat="false" ht="15.75" hidden="false" customHeight="false" outlineLevel="0" collapsed="false">
      <c r="A48" s="2" t="n">
        <v>43219.8753747338</v>
      </c>
      <c r="B48" s="1" t="s">
        <v>217</v>
      </c>
      <c r="C48" s="1" t="s">
        <v>218</v>
      </c>
      <c r="D48" s="1" t="n">
        <v>10</v>
      </c>
      <c r="E48" s="1" t="s">
        <v>219</v>
      </c>
      <c r="G48" s="1" t="s">
        <v>43</v>
      </c>
      <c r="H48" s="1" t="s">
        <v>220</v>
      </c>
      <c r="I48" s="1" t="s">
        <v>14</v>
      </c>
      <c r="J48" s="1" t="s">
        <v>51</v>
      </c>
    </row>
    <row r="49" customFormat="false" ht="15.75" hidden="false" customHeight="false" outlineLevel="0" collapsed="false">
      <c r="A49" s="2" t="n">
        <v>43219.8774850347</v>
      </c>
      <c r="B49" s="1" t="s">
        <v>221</v>
      </c>
      <c r="C49" s="1" t="s">
        <v>222</v>
      </c>
      <c r="D49" s="1" t="n">
        <v>8</v>
      </c>
      <c r="E49" s="1" t="s">
        <v>223</v>
      </c>
      <c r="G49" s="3" t="s">
        <v>224</v>
      </c>
      <c r="H49" s="1" t="s">
        <v>225</v>
      </c>
      <c r="I49" s="1" t="s">
        <v>15</v>
      </c>
      <c r="J49" s="1" t="s">
        <v>148</v>
      </c>
    </row>
    <row r="50" customFormat="false" ht="15.75" hidden="false" customHeight="false" outlineLevel="0" collapsed="false">
      <c r="A50" s="2" t="n">
        <v>43219.8817596759</v>
      </c>
      <c r="B50" s="1" t="s">
        <v>226</v>
      </c>
      <c r="C50" s="1" t="s">
        <v>31</v>
      </c>
      <c r="D50" s="1" t="n">
        <v>7</v>
      </c>
      <c r="E50" s="1" t="s">
        <v>227</v>
      </c>
      <c r="G50" s="3" t="s">
        <v>228</v>
      </c>
      <c r="H50" s="1" t="s">
        <v>229</v>
      </c>
      <c r="I50" s="1" t="s">
        <v>14</v>
      </c>
      <c r="J50" s="1" t="s">
        <v>148</v>
      </c>
    </row>
    <row r="51" customFormat="false" ht="15.75" hidden="false" customHeight="false" outlineLevel="0" collapsed="false">
      <c r="A51" s="2" t="n">
        <v>43219.8829114005</v>
      </c>
      <c r="B51" s="1" t="s">
        <v>226</v>
      </c>
      <c r="C51" s="1" t="s">
        <v>230</v>
      </c>
      <c r="D51" s="1" t="n">
        <v>7</v>
      </c>
      <c r="E51" s="1" t="s">
        <v>227</v>
      </c>
      <c r="G51" s="3" t="s">
        <v>228</v>
      </c>
      <c r="H51" s="1" t="s">
        <v>229</v>
      </c>
      <c r="I51" s="1" t="s">
        <v>14</v>
      </c>
      <c r="J51" s="1" t="s">
        <v>148</v>
      </c>
    </row>
    <row r="52" customFormat="false" ht="15.75" hidden="false" customHeight="false" outlineLevel="0" collapsed="false">
      <c r="A52" s="2" t="n">
        <v>43219.8909640394</v>
      </c>
      <c r="B52" s="1" t="s">
        <v>221</v>
      </c>
      <c r="C52" s="1" t="s">
        <v>231</v>
      </c>
      <c r="D52" s="1" t="n">
        <v>8</v>
      </c>
      <c r="E52" s="1" t="s">
        <v>223</v>
      </c>
      <c r="G52" s="3" t="s">
        <v>224</v>
      </c>
      <c r="H52" s="1" t="s">
        <v>225</v>
      </c>
      <c r="I52" s="1" t="s">
        <v>14</v>
      </c>
      <c r="J52" s="1" t="s">
        <v>15</v>
      </c>
    </row>
    <row r="53" customFormat="false" ht="15.75" hidden="false" customHeight="false" outlineLevel="0" collapsed="false">
      <c r="A53" s="2" t="n">
        <v>43219.8912425463</v>
      </c>
      <c r="B53" s="1" t="s">
        <v>204</v>
      </c>
      <c r="C53" s="1" t="s">
        <v>199</v>
      </c>
      <c r="D53" s="1" t="n">
        <v>10</v>
      </c>
      <c r="E53" s="1" t="s">
        <v>205</v>
      </c>
      <c r="G53" s="3" t="s">
        <v>206</v>
      </c>
      <c r="H53" s="1" t="s">
        <v>207</v>
      </c>
      <c r="I53" s="1" t="s">
        <v>50</v>
      </c>
      <c r="J53" s="1" t="s">
        <v>29</v>
      </c>
    </row>
    <row r="54" customFormat="false" ht="15.75" hidden="false" customHeight="false" outlineLevel="0" collapsed="false">
      <c r="A54" s="2" t="n">
        <v>43220.006485463</v>
      </c>
      <c r="B54" s="1" t="s">
        <v>232</v>
      </c>
      <c r="C54" s="1" t="s">
        <v>233</v>
      </c>
      <c r="D54" s="1" t="n">
        <v>7</v>
      </c>
      <c r="E54" s="1" t="s">
        <v>37</v>
      </c>
      <c r="G54" s="3" t="s">
        <v>234</v>
      </c>
      <c r="H54" s="1" t="s">
        <v>235</v>
      </c>
      <c r="I54" s="1" t="s">
        <v>14</v>
      </c>
      <c r="J54" s="1" t="s">
        <v>65</v>
      </c>
    </row>
    <row r="55" customFormat="false" ht="15.75" hidden="false" customHeight="false" outlineLevel="0" collapsed="false">
      <c r="A55" s="2" t="n">
        <v>43220.1869950695</v>
      </c>
      <c r="B55" s="1" t="s">
        <v>236</v>
      </c>
      <c r="C55" s="1" t="s">
        <v>237</v>
      </c>
      <c r="D55" s="1" t="n">
        <v>11</v>
      </c>
      <c r="E55" s="1" t="n">
        <v>117</v>
      </c>
      <c r="G55" s="3" t="s">
        <v>238</v>
      </c>
      <c r="H55" s="1" t="s">
        <v>239</v>
      </c>
      <c r="I55" s="1" t="s">
        <v>70</v>
      </c>
      <c r="J55" s="1" t="s">
        <v>65</v>
      </c>
    </row>
    <row r="56" customFormat="false" ht="15.75" hidden="false" customHeight="false" outlineLevel="0" collapsed="false">
      <c r="A56" s="2" t="n">
        <v>43220.1881376852</v>
      </c>
      <c r="B56" s="1" t="s">
        <v>240</v>
      </c>
      <c r="C56" s="1" t="s">
        <v>92</v>
      </c>
      <c r="D56" s="1" t="n">
        <v>10</v>
      </c>
      <c r="E56" s="1" t="s">
        <v>241</v>
      </c>
      <c r="G56" s="3" t="s">
        <v>242</v>
      </c>
      <c r="H56" s="1" t="s">
        <v>243</v>
      </c>
      <c r="I56" s="1" t="s">
        <v>29</v>
      </c>
      <c r="J56" s="1" t="s">
        <v>65</v>
      </c>
    </row>
    <row r="57" customFormat="false" ht="15.75" hidden="false" customHeight="false" outlineLevel="0" collapsed="false">
      <c r="A57" s="2" t="n">
        <v>43220.2120007407</v>
      </c>
      <c r="B57" s="1" t="s">
        <v>244</v>
      </c>
      <c r="C57" s="1" t="s">
        <v>230</v>
      </c>
      <c r="D57" s="1" t="n">
        <v>8</v>
      </c>
      <c r="E57" s="1" t="s">
        <v>245</v>
      </c>
      <c r="G57" s="1" t="s">
        <v>43</v>
      </c>
      <c r="H57" s="1" t="s">
        <v>246</v>
      </c>
      <c r="I57" s="1" t="s">
        <v>22</v>
      </c>
      <c r="J57" s="1" t="s">
        <v>15</v>
      </c>
    </row>
    <row r="58" customFormat="false" ht="15.75" hidden="false" customHeight="false" outlineLevel="0" collapsed="false">
      <c r="A58" s="2" t="n">
        <v>43220.2214932523</v>
      </c>
      <c r="B58" s="1" t="s">
        <v>247</v>
      </c>
      <c r="C58" s="1" t="s">
        <v>195</v>
      </c>
      <c r="D58" s="1" t="n">
        <v>8</v>
      </c>
      <c r="E58" s="1" t="n">
        <v>117</v>
      </c>
      <c r="G58" s="3" t="s">
        <v>248</v>
      </c>
      <c r="H58" s="1" t="s">
        <v>249</v>
      </c>
      <c r="I58" s="1" t="s">
        <v>70</v>
      </c>
      <c r="J58" s="1" t="s">
        <v>23</v>
      </c>
    </row>
    <row r="59" customFormat="false" ht="15.75" hidden="false" customHeight="false" outlineLevel="0" collapsed="false">
      <c r="A59" s="2" t="n">
        <v>43220.2323571296</v>
      </c>
      <c r="B59" s="1" t="s">
        <v>250</v>
      </c>
      <c r="C59" s="1" t="s">
        <v>251</v>
      </c>
      <c r="D59" s="1" t="n">
        <v>10</v>
      </c>
      <c r="E59" s="1" t="s">
        <v>252</v>
      </c>
      <c r="G59" s="3" t="s">
        <v>253</v>
      </c>
      <c r="H59" s="1" t="s">
        <v>254</v>
      </c>
      <c r="I59" s="1" t="s">
        <v>50</v>
      </c>
      <c r="J59" s="1" t="s">
        <v>22</v>
      </c>
    </row>
    <row r="60" customFormat="false" ht="15.75" hidden="false" customHeight="false" outlineLevel="0" collapsed="false">
      <c r="A60" s="2" t="n">
        <v>43220.236149456</v>
      </c>
      <c r="B60" s="1" t="s">
        <v>255</v>
      </c>
      <c r="C60" s="1" t="s">
        <v>256</v>
      </c>
      <c r="D60" s="1" t="n">
        <v>9</v>
      </c>
      <c r="E60" s="1" t="s">
        <v>82</v>
      </c>
      <c r="G60" s="1" t="s">
        <v>43</v>
      </c>
      <c r="H60" s="1" t="s">
        <v>257</v>
      </c>
      <c r="I60" s="1" t="s">
        <v>15</v>
      </c>
      <c r="J60" s="1" t="s">
        <v>128</v>
      </c>
    </row>
    <row r="61" customFormat="false" ht="15.75" hidden="false" customHeight="false" outlineLevel="0" collapsed="false">
      <c r="A61" s="2" t="n">
        <v>43220.2701413542</v>
      </c>
      <c r="B61" s="1" t="s">
        <v>258</v>
      </c>
      <c r="C61" s="1" t="s">
        <v>259</v>
      </c>
      <c r="D61" s="1" t="n">
        <v>10</v>
      </c>
      <c r="E61" s="1" t="s">
        <v>260</v>
      </c>
      <c r="G61" s="3" t="s">
        <v>261</v>
      </c>
      <c r="H61" s="1" t="s">
        <v>262</v>
      </c>
      <c r="I61" s="1" t="s">
        <v>14</v>
      </c>
      <c r="J61" s="1" t="s">
        <v>85</v>
      </c>
    </row>
    <row r="62" customFormat="false" ht="15.75" hidden="false" customHeight="false" outlineLevel="0" collapsed="false">
      <c r="A62" s="2" t="n">
        <v>43220.2761001273</v>
      </c>
      <c r="B62" s="1" t="s">
        <v>263</v>
      </c>
      <c r="C62" s="1" t="s">
        <v>264</v>
      </c>
      <c r="D62" s="1" t="n">
        <v>7</v>
      </c>
      <c r="E62" s="1" t="s">
        <v>265</v>
      </c>
      <c r="G62" s="3" t="s">
        <v>266</v>
      </c>
      <c r="H62" s="1" t="s">
        <v>267</v>
      </c>
      <c r="I62" s="1" t="s">
        <v>50</v>
      </c>
      <c r="J62" s="1" t="s">
        <v>65</v>
      </c>
    </row>
    <row r="63" customFormat="false" ht="15.75" hidden="false" customHeight="false" outlineLevel="0" collapsed="false">
      <c r="A63" s="2" t="n">
        <v>43220.2772982986</v>
      </c>
      <c r="B63" s="1" t="s">
        <v>268</v>
      </c>
      <c r="C63" s="1" t="s">
        <v>237</v>
      </c>
      <c r="D63" s="1" t="n">
        <v>8</v>
      </c>
      <c r="E63" s="1" t="s">
        <v>269</v>
      </c>
      <c r="G63" s="3" t="s">
        <v>270</v>
      </c>
      <c r="H63" s="1" t="s">
        <v>271</v>
      </c>
      <c r="I63" s="1" t="s">
        <v>40</v>
      </c>
      <c r="J63" s="1" t="s">
        <v>23</v>
      </c>
    </row>
    <row r="64" customFormat="false" ht="15.75" hidden="false" customHeight="false" outlineLevel="0" collapsed="false">
      <c r="A64" s="2" t="n">
        <v>43220.2822944329</v>
      </c>
      <c r="B64" s="1" t="s">
        <v>272</v>
      </c>
      <c r="C64" s="1" t="s">
        <v>273</v>
      </c>
      <c r="D64" s="1" t="n">
        <v>9</v>
      </c>
      <c r="E64" s="1" t="s">
        <v>274</v>
      </c>
      <c r="G64" s="3" t="s">
        <v>275</v>
      </c>
      <c r="H64" s="1" t="s">
        <v>276</v>
      </c>
      <c r="I64" s="1" t="s">
        <v>50</v>
      </c>
      <c r="J64" s="1" t="s">
        <v>85</v>
      </c>
    </row>
    <row r="65" customFormat="false" ht="15.75" hidden="false" customHeight="false" outlineLevel="0" collapsed="false">
      <c r="A65" s="2" t="n">
        <v>43220.3440784028</v>
      </c>
      <c r="B65" s="1" t="s">
        <v>277</v>
      </c>
      <c r="C65" s="1" t="s">
        <v>237</v>
      </c>
      <c r="D65" s="1" t="n">
        <v>10</v>
      </c>
      <c r="E65" s="1" t="n">
        <v>149</v>
      </c>
      <c r="G65" s="3" t="s">
        <v>278</v>
      </c>
      <c r="H65" s="1" t="s">
        <v>279</v>
      </c>
      <c r="I65" s="1" t="s">
        <v>14</v>
      </c>
      <c r="J65" s="1" t="s">
        <v>45</v>
      </c>
    </row>
    <row r="66" customFormat="false" ht="15.75" hidden="false" customHeight="false" outlineLevel="0" collapsed="false">
      <c r="A66" s="2" t="n">
        <v>43220.3682816782</v>
      </c>
      <c r="B66" s="1" t="s">
        <v>280</v>
      </c>
      <c r="C66" s="1" t="s">
        <v>281</v>
      </c>
      <c r="D66" s="1" t="n">
        <v>8</v>
      </c>
      <c r="E66" s="1" t="s">
        <v>282</v>
      </c>
      <c r="G66" s="3" t="s">
        <v>283</v>
      </c>
      <c r="H66" s="1" t="s">
        <v>284</v>
      </c>
      <c r="I66" s="1" t="s">
        <v>14</v>
      </c>
      <c r="J66" s="1" t="s">
        <v>51</v>
      </c>
    </row>
    <row r="67" customFormat="false" ht="15.75" hidden="false" customHeight="false" outlineLevel="0" collapsed="false">
      <c r="A67" s="2" t="n">
        <v>43220.4017922801</v>
      </c>
      <c r="B67" s="1" t="s">
        <v>285</v>
      </c>
      <c r="C67" s="1" t="s">
        <v>286</v>
      </c>
      <c r="D67" s="1" t="n">
        <v>10</v>
      </c>
      <c r="E67" s="1" t="s">
        <v>287</v>
      </c>
      <c r="G67" s="3" t="s">
        <v>288</v>
      </c>
      <c r="H67" s="1" t="s">
        <v>289</v>
      </c>
      <c r="I67" s="1" t="s">
        <v>70</v>
      </c>
      <c r="J67" s="1" t="s">
        <v>65</v>
      </c>
    </row>
    <row r="68" customFormat="false" ht="15.75" hidden="false" customHeight="false" outlineLevel="0" collapsed="false">
      <c r="A68" s="2" t="n">
        <v>43220.4297098148</v>
      </c>
      <c r="B68" s="1" t="s">
        <v>290</v>
      </c>
      <c r="C68" s="1" t="s">
        <v>61</v>
      </c>
      <c r="D68" s="1" t="n">
        <v>8</v>
      </c>
      <c r="E68" s="1" t="n">
        <v>19</v>
      </c>
      <c r="G68" s="1" t="s">
        <v>43</v>
      </c>
      <c r="H68" s="1" t="s">
        <v>291</v>
      </c>
      <c r="I68" s="1" t="s">
        <v>15</v>
      </c>
      <c r="J68" s="1" t="s">
        <v>15</v>
      </c>
    </row>
    <row r="69" customFormat="false" ht="15.75" hidden="false" customHeight="false" outlineLevel="0" collapsed="false">
      <c r="A69" s="2" t="n">
        <v>43220.5693318056</v>
      </c>
      <c r="B69" s="1" t="s">
        <v>292</v>
      </c>
      <c r="C69" s="1" t="s">
        <v>293</v>
      </c>
      <c r="D69" s="1" t="n">
        <v>10</v>
      </c>
      <c r="E69" s="1" t="s">
        <v>294</v>
      </c>
      <c r="F69" s="1" t="s">
        <v>295</v>
      </c>
      <c r="G69" s="3" t="s">
        <v>296</v>
      </c>
      <c r="H69" s="1" t="s">
        <v>297</v>
      </c>
      <c r="I69" s="1" t="s">
        <v>14</v>
      </c>
      <c r="J69" s="1" t="s">
        <v>51</v>
      </c>
    </row>
    <row r="70" customFormat="false" ht="15.75" hidden="false" customHeight="false" outlineLevel="0" collapsed="false">
      <c r="A70" s="2" t="n">
        <v>43220.5751695602</v>
      </c>
      <c r="B70" s="1" t="s">
        <v>298</v>
      </c>
      <c r="C70" s="1" t="s">
        <v>230</v>
      </c>
      <c r="D70" s="1" t="n">
        <v>10</v>
      </c>
      <c r="E70" s="1" t="s">
        <v>299</v>
      </c>
      <c r="F70" s="1" t="s">
        <v>300</v>
      </c>
      <c r="G70" s="3" t="s">
        <v>301</v>
      </c>
      <c r="H70" s="1" t="s">
        <v>302</v>
      </c>
      <c r="I70" s="1" t="s">
        <v>14</v>
      </c>
      <c r="J70" s="1" t="s">
        <v>51</v>
      </c>
    </row>
    <row r="71" customFormat="false" ht="15.75" hidden="false" customHeight="false" outlineLevel="0" collapsed="false">
      <c r="A71" s="2" t="n">
        <v>43220.5871779745</v>
      </c>
      <c r="B71" s="1" t="s">
        <v>303</v>
      </c>
      <c r="C71" s="1" t="s">
        <v>304</v>
      </c>
      <c r="D71" s="1" t="n">
        <v>7</v>
      </c>
      <c r="E71" s="1" t="s">
        <v>305</v>
      </c>
      <c r="F71" s="1" t="s">
        <v>306</v>
      </c>
      <c r="G71" s="1" t="s">
        <v>43</v>
      </c>
      <c r="H71" s="1" t="s">
        <v>307</v>
      </c>
      <c r="I71" s="1" t="s">
        <v>50</v>
      </c>
      <c r="J71" s="1" t="s">
        <v>85</v>
      </c>
    </row>
    <row r="72" customFormat="false" ht="15.75" hidden="false" customHeight="false" outlineLevel="0" collapsed="false">
      <c r="A72" s="2" t="n">
        <v>43220.5873344907</v>
      </c>
      <c r="B72" s="1" t="s">
        <v>308</v>
      </c>
      <c r="C72" s="1" t="s">
        <v>155</v>
      </c>
      <c r="D72" s="1" t="n">
        <v>8</v>
      </c>
      <c r="E72" s="1" t="s">
        <v>309</v>
      </c>
      <c r="G72" s="3" t="s">
        <v>310</v>
      </c>
      <c r="H72" s="1" t="s">
        <v>311</v>
      </c>
      <c r="I72" s="1" t="s">
        <v>40</v>
      </c>
      <c r="J72" s="1" t="s">
        <v>109</v>
      </c>
    </row>
    <row r="73" customFormat="false" ht="15.75" hidden="false" customHeight="false" outlineLevel="0" collapsed="false">
      <c r="A73" s="2" t="n">
        <v>43220.5929749537</v>
      </c>
      <c r="B73" s="1" t="s">
        <v>312</v>
      </c>
      <c r="C73" s="1" t="s">
        <v>313</v>
      </c>
      <c r="D73" s="1" t="n">
        <v>10</v>
      </c>
      <c r="E73" s="1" t="s">
        <v>314</v>
      </c>
      <c r="G73" s="3" t="s">
        <v>315</v>
      </c>
      <c r="H73" s="1" t="s">
        <v>316</v>
      </c>
      <c r="I73" s="1" t="s">
        <v>22</v>
      </c>
      <c r="J73" s="1" t="s">
        <v>22</v>
      </c>
    </row>
    <row r="74" customFormat="false" ht="15.75" hidden="false" customHeight="false" outlineLevel="0" collapsed="false">
      <c r="A74" s="2" t="n">
        <v>43220.6212729745</v>
      </c>
      <c r="B74" s="1" t="s">
        <v>317</v>
      </c>
      <c r="C74" s="1" t="s">
        <v>318</v>
      </c>
      <c r="D74" s="1" t="n">
        <v>10</v>
      </c>
      <c r="E74" s="1" t="s">
        <v>319</v>
      </c>
      <c r="G74" s="3" t="s">
        <v>320</v>
      </c>
      <c r="H74" s="1" t="s">
        <v>321</v>
      </c>
      <c r="I74" s="1" t="s">
        <v>29</v>
      </c>
      <c r="J74" s="1" t="s">
        <v>109</v>
      </c>
    </row>
    <row r="75" customFormat="false" ht="15.75" hidden="false" customHeight="false" outlineLevel="0" collapsed="false">
      <c r="A75" s="2" t="n">
        <v>43220.6740641667</v>
      </c>
      <c r="B75" s="1" t="s">
        <v>322</v>
      </c>
      <c r="C75" s="1" t="s">
        <v>264</v>
      </c>
      <c r="D75" s="1" t="n">
        <v>10</v>
      </c>
      <c r="E75" s="1" t="s">
        <v>323</v>
      </c>
      <c r="G75" s="3" t="s">
        <v>324</v>
      </c>
      <c r="H75" s="1" t="s">
        <v>325</v>
      </c>
      <c r="I75" s="1" t="s">
        <v>15</v>
      </c>
      <c r="J75" s="1" t="s">
        <v>23</v>
      </c>
    </row>
    <row r="76" customFormat="false" ht="15.75" hidden="false" customHeight="false" outlineLevel="0" collapsed="false">
      <c r="A76" s="2" t="n">
        <v>43220.7203683102</v>
      </c>
      <c r="B76" s="1" t="s">
        <v>326</v>
      </c>
      <c r="C76" s="1" t="s">
        <v>327</v>
      </c>
      <c r="D76" s="1" t="n">
        <v>9</v>
      </c>
      <c r="E76" s="1" t="s">
        <v>328</v>
      </c>
      <c r="G76" s="3" t="s">
        <v>329</v>
      </c>
      <c r="H76" s="1" t="s">
        <v>330</v>
      </c>
      <c r="I76" s="1" t="s">
        <v>50</v>
      </c>
      <c r="J76" s="1" t="s">
        <v>22</v>
      </c>
    </row>
    <row r="77" customFormat="false" ht="15.75" hidden="false" customHeight="false" outlineLevel="0" collapsed="false">
      <c r="A77" s="2" t="n">
        <v>43220.7314378357</v>
      </c>
      <c r="B77" s="1" t="s">
        <v>331</v>
      </c>
      <c r="C77" s="1" t="s">
        <v>332</v>
      </c>
      <c r="D77" s="1" t="n">
        <v>10</v>
      </c>
      <c r="E77" s="1" t="n">
        <v>117</v>
      </c>
      <c r="G77" s="3" t="s">
        <v>333</v>
      </c>
      <c r="H77" s="1" t="s">
        <v>334</v>
      </c>
      <c r="I77" s="1" t="s">
        <v>70</v>
      </c>
      <c r="J77" s="1" t="s">
        <v>85</v>
      </c>
    </row>
    <row r="78" customFormat="false" ht="15.75" hidden="false" customHeight="false" outlineLevel="0" collapsed="false">
      <c r="A78" s="2" t="n">
        <v>43220.7560487153</v>
      </c>
      <c r="B78" s="1" t="s">
        <v>335</v>
      </c>
      <c r="C78" s="1" t="s">
        <v>222</v>
      </c>
      <c r="D78" s="1" t="n">
        <v>7</v>
      </c>
      <c r="E78" s="1" t="s">
        <v>336</v>
      </c>
      <c r="G78" s="3" t="s">
        <v>337</v>
      </c>
      <c r="H78" s="1" t="s">
        <v>338</v>
      </c>
      <c r="I78" s="1" t="s">
        <v>51</v>
      </c>
      <c r="J78" s="1" t="s">
        <v>65</v>
      </c>
    </row>
    <row r="79" customFormat="false" ht="15.75" hidden="false" customHeight="false" outlineLevel="0" collapsed="false">
      <c r="A79" s="2" t="n">
        <v>43220.7594297107</v>
      </c>
      <c r="B79" s="1" t="s">
        <v>339</v>
      </c>
      <c r="C79" s="1" t="s">
        <v>340</v>
      </c>
      <c r="D79" s="1" t="n">
        <v>10</v>
      </c>
      <c r="E79" s="1" t="s">
        <v>341</v>
      </c>
      <c r="G79" s="3" t="s">
        <v>342</v>
      </c>
      <c r="H79" s="1" t="s">
        <v>343</v>
      </c>
      <c r="I79" s="1" t="s">
        <v>29</v>
      </c>
      <c r="J79" s="1" t="s">
        <v>109</v>
      </c>
    </row>
    <row r="80" customFormat="false" ht="15.75" hidden="false" customHeight="false" outlineLevel="0" collapsed="false">
      <c r="A80" s="2" t="n">
        <v>43220.7591743519</v>
      </c>
      <c r="B80" s="1" t="s">
        <v>344</v>
      </c>
      <c r="C80" s="1" t="s">
        <v>345</v>
      </c>
      <c r="D80" s="1" t="n">
        <v>10</v>
      </c>
      <c r="E80" s="1" t="s">
        <v>346</v>
      </c>
      <c r="G80" s="3" t="s">
        <v>347</v>
      </c>
      <c r="H80" s="1" t="s">
        <v>348</v>
      </c>
      <c r="I80" s="1" t="s">
        <v>14</v>
      </c>
      <c r="J80" s="1" t="s">
        <v>85</v>
      </c>
    </row>
    <row r="81" customFormat="false" ht="15.75" hidden="false" customHeight="false" outlineLevel="0" collapsed="false">
      <c r="A81" s="2" t="n">
        <v>43220.7599951389</v>
      </c>
      <c r="B81" s="1" t="s">
        <v>349</v>
      </c>
      <c r="C81" s="1" t="s">
        <v>350</v>
      </c>
      <c r="D81" s="1" t="n">
        <v>10</v>
      </c>
      <c r="E81" s="1" t="s">
        <v>103</v>
      </c>
      <c r="G81" s="3" t="s">
        <v>351</v>
      </c>
      <c r="H81" s="1" t="s">
        <v>352</v>
      </c>
      <c r="I81" s="1" t="s">
        <v>80</v>
      </c>
      <c r="J81" s="1" t="s">
        <v>51</v>
      </c>
    </row>
    <row r="82" customFormat="false" ht="15.75" hidden="false" customHeight="false" outlineLevel="0" collapsed="false">
      <c r="A82" s="2" t="n">
        <v>43220.7618344676</v>
      </c>
      <c r="B82" s="1" t="s">
        <v>353</v>
      </c>
      <c r="C82" s="1" t="s">
        <v>354</v>
      </c>
      <c r="D82" s="1" t="n">
        <v>9</v>
      </c>
      <c r="E82" s="1" t="s">
        <v>355</v>
      </c>
      <c r="G82" s="3" t="s">
        <v>356</v>
      </c>
      <c r="H82" s="1" t="s">
        <v>357</v>
      </c>
      <c r="I82" s="1" t="s">
        <v>14</v>
      </c>
      <c r="J82" s="1" t="s">
        <v>40</v>
      </c>
    </row>
    <row r="83" customFormat="false" ht="15.75" hidden="false" customHeight="false" outlineLevel="0" collapsed="false">
      <c r="A83" s="2" t="n">
        <v>43220.7867796528</v>
      </c>
      <c r="B83" s="1" t="s">
        <v>358</v>
      </c>
      <c r="C83" s="1" t="s">
        <v>359</v>
      </c>
      <c r="D83" s="1" t="n">
        <v>9</v>
      </c>
      <c r="E83" s="1" t="s">
        <v>360</v>
      </c>
      <c r="G83" s="3" t="s">
        <v>361</v>
      </c>
      <c r="H83" s="1" t="s">
        <v>362</v>
      </c>
      <c r="I83" s="1" t="s">
        <v>14</v>
      </c>
      <c r="J83" s="1" t="s">
        <v>15</v>
      </c>
    </row>
    <row r="84" customFormat="false" ht="15.75" hidden="false" customHeight="false" outlineLevel="0" collapsed="false">
      <c r="A84" s="2" t="n">
        <v>43220.7987228357</v>
      </c>
      <c r="B84" s="1" t="s">
        <v>363</v>
      </c>
      <c r="C84" s="1" t="s">
        <v>364</v>
      </c>
      <c r="D84" s="1" t="n">
        <v>10</v>
      </c>
      <c r="E84" s="1" t="n">
        <v>64</v>
      </c>
      <c r="F84" s="1" t="s">
        <v>365</v>
      </c>
      <c r="G84" s="3" t="s">
        <v>366</v>
      </c>
      <c r="H84" s="1" t="s">
        <v>367</v>
      </c>
      <c r="I84" s="1" t="s">
        <v>50</v>
      </c>
      <c r="J84" s="1" t="s">
        <v>23</v>
      </c>
    </row>
    <row r="85" customFormat="false" ht="15.75" hidden="false" customHeight="false" outlineLevel="0" collapsed="false">
      <c r="A85" s="2" t="n">
        <v>43220.804375787</v>
      </c>
      <c r="B85" s="1" t="s">
        <v>368</v>
      </c>
      <c r="C85" s="1" t="s">
        <v>120</v>
      </c>
      <c r="D85" s="1" t="n">
        <v>11</v>
      </c>
      <c r="E85" s="1" t="s">
        <v>369</v>
      </c>
      <c r="G85" s="3" t="s">
        <v>370</v>
      </c>
      <c r="H85" s="1" t="s">
        <v>371</v>
      </c>
      <c r="I85" s="1" t="s">
        <v>29</v>
      </c>
      <c r="J85" s="1" t="s">
        <v>109</v>
      </c>
    </row>
    <row r="86" customFormat="false" ht="15.75" hidden="false" customHeight="false" outlineLevel="0" collapsed="false">
      <c r="A86" s="2" t="n">
        <v>43220.811456088</v>
      </c>
      <c r="B86" s="1" t="s">
        <v>372</v>
      </c>
      <c r="C86" s="1" t="s">
        <v>135</v>
      </c>
      <c r="D86" s="1" t="n">
        <v>10</v>
      </c>
      <c r="E86" s="1" t="s">
        <v>373</v>
      </c>
      <c r="G86" s="3" t="s">
        <v>374</v>
      </c>
      <c r="H86" s="1" t="s">
        <v>375</v>
      </c>
      <c r="I86" s="1" t="s">
        <v>29</v>
      </c>
      <c r="J86" s="1" t="s">
        <v>109</v>
      </c>
    </row>
    <row r="87" customFormat="false" ht="15.75" hidden="false" customHeight="false" outlineLevel="0" collapsed="false">
      <c r="A87" s="2" t="n">
        <v>43220.8261646296</v>
      </c>
      <c r="B87" s="1" t="s">
        <v>376</v>
      </c>
      <c r="C87" s="1" t="s">
        <v>377</v>
      </c>
      <c r="D87" s="1" t="n">
        <v>10</v>
      </c>
      <c r="E87" s="1" t="s">
        <v>37</v>
      </c>
      <c r="F87" s="1" t="s">
        <v>378</v>
      </c>
      <c r="G87" s="3" t="s">
        <v>379</v>
      </c>
      <c r="H87" s="1" t="s">
        <v>380</v>
      </c>
      <c r="I87" s="1" t="s">
        <v>50</v>
      </c>
      <c r="J87" s="1" t="s">
        <v>15</v>
      </c>
    </row>
    <row r="88" customFormat="false" ht="15.75" hidden="false" customHeight="false" outlineLevel="0" collapsed="false">
      <c r="A88" s="2" t="n">
        <v>43220.8322591319</v>
      </c>
      <c r="B88" s="1" t="s">
        <v>149</v>
      </c>
      <c r="C88" s="1" t="s">
        <v>150</v>
      </c>
      <c r="D88" s="1" t="n">
        <v>11</v>
      </c>
      <c r="E88" s="1" t="s">
        <v>381</v>
      </c>
      <c r="G88" s="3" t="s">
        <v>152</v>
      </c>
      <c r="H88" s="1" t="s">
        <v>153</v>
      </c>
      <c r="I88" s="1" t="s">
        <v>22</v>
      </c>
      <c r="J88" s="1" t="s">
        <v>85</v>
      </c>
    </row>
    <row r="89" customFormat="false" ht="15.75" hidden="false" customHeight="false" outlineLevel="0" collapsed="false">
      <c r="A89" s="2" t="n">
        <v>43220.8662196065</v>
      </c>
      <c r="B89" s="1" t="s">
        <v>382</v>
      </c>
      <c r="C89" s="1" t="s">
        <v>383</v>
      </c>
      <c r="D89" s="1" t="n">
        <v>10</v>
      </c>
      <c r="E89" s="1" t="s">
        <v>384</v>
      </c>
      <c r="G89" s="3" t="s">
        <v>385</v>
      </c>
      <c r="H89" s="1" t="s">
        <v>386</v>
      </c>
      <c r="I89" s="1" t="s">
        <v>180</v>
      </c>
      <c r="J89" s="1" t="s">
        <v>51</v>
      </c>
    </row>
    <row r="90" customFormat="false" ht="15.75" hidden="false" customHeight="false" outlineLevel="0" collapsed="false">
      <c r="A90" s="2" t="n">
        <v>43221.2853585764</v>
      </c>
      <c r="B90" s="1" t="s">
        <v>387</v>
      </c>
      <c r="C90" s="1" t="s">
        <v>350</v>
      </c>
      <c r="D90" s="1" t="n">
        <v>9</v>
      </c>
      <c r="E90" s="1" t="s">
        <v>388</v>
      </c>
      <c r="G90" s="3" t="s">
        <v>389</v>
      </c>
      <c r="H90" s="1" t="s">
        <v>390</v>
      </c>
      <c r="I90" s="1" t="s">
        <v>15</v>
      </c>
      <c r="J90" s="1" t="s">
        <v>148</v>
      </c>
    </row>
    <row r="91" customFormat="false" ht="15.75" hidden="false" customHeight="false" outlineLevel="0" collapsed="false">
      <c r="A91" s="2" t="n">
        <v>43221.2993582407</v>
      </c>
      <c r="B91" s="1" t="s">
        <v>322</v>
      </c>
      <c r="C91" s="1" t="s">
        <v>286</v>
      </c>
      <c r="D91" s="1" t="n">
        <v>8</v>
      </c>
      <c r="E91" s="1" t="s">
        <v>391</v>
      </c>
      <c r="G91" s="3" t="s">
        <v>392</v>
      </c>
      <c r="H91" s="1" t="s">
        <v>393</v>
      </c>
      <c r="I91" s="1" t="s">
        <v>40</v>
      </c>
      <c r="J91" s="1" t="s">
        <v>65</v>
      </c>
    </row>
    <row r="92" customFormat="false" ht="15.75" hidden="false" customHeight="false" outlineLevel="0" collapsed="false">
      <c r="A92" s="2" t="n">
        <v>43221.3264223727</v>
      </c>
      <c r="B92" s="1" t="s">
        <v>394</v>
      </c>
      <c r="C92" s="1" t="s">
        <v>395</v>
      </c>
      <c r="D92" s="1" t="n">
        <v>8</v>
      </c>
      <c r="E92" s="1" t="s">
        <v>37</v>
      </c>
      <c r="G92" s="3" t="s">
        <v>396</v>
      </c>
      <c r="H92" s="1" t="s">
        <v>397</v>
      </c>
      <c r="I92" s="1" t="s">
        <v>70</v>
      </c>
      <c r="J92" s="1" t="s">
        <v>85</v>
      </c>
    </row>
    <row r="93" customFormat="false" ht="15.75" hidden="false" customHeight="false" outlineLevel="0" collapsed="false">
      <c r="A93" s="2" t="n">
        <v>43221.3366987037</v>
      </c>
      <c r="B93" s="1" t="s">
        <v>398</v>
      </c>
      <c r="C93" s="1" t="s">
        <v>350</v>
      </c>
      <c r="D93" s="1" t="n">
        <v>8</v>
      </c>
      <c r="E93" s="1" t="s">
        <v>399</v>
      </c>
      <c r="G93" s="3" t="s">
        <v>400</v>
      </c>
      <c r="H93" s="1" t="s">
        <v>401</v>
      </c>
      <c r="I93" s="1" t="s">
        <v>14</v>
      </c>
      <c r="J93" s="1" t="s">
        <v>65</v>
      </c>
    </row>
    <row r="94" customFormat="false" ht="15.75" hidden="false" customHeight="false" outlineLevel="0" collapsed="false">
      <c r="A94" s="2" t="n">
        <v>43221.3408760301</v>
      </c>
      <c r="B94" s="1" t="s">
        <v>402</v>
      </c>
      <c r="C94" s="1" t="s">
        <v>403</v>
      </c>
      <c r="D94" s="1" t="n">
        <v>8</v>
      </c>
      <c r="E94" s="1" t="s">
        <v>404</v>
      </c>
      <c r="G94" s="3" t="s">
        <v>405</v>
      </c>
      <c r="H94" s="1" t="s">
        <v>406</v>
      </c>
      <c r="I94" s="1" t="s">
        <v>51</v>
      </c>
      <c r="J94" s="1" t="s">
        <v>85</v>
      </c>
    </row>
    <row r="95" customFormat="false" ht="15.75" hidden="false" customHeight="false" outlineLevel="0" collapsed="false">
      <c r="A95" s="2" t="n">
        <v>43221.3430703588</v>
      </c>
      <c r="B95" s="1" t="s">
        <v>407</v>
      </c>
      <c r="C95" s="1" t="s">
        <v>377</v>
      </c>
      <c r="D95" s="1" t="n">
        <v>8</v>
      </c>
      <c r="E95" s="1" t="s">
        <v>328</v>
      </c>
      <c r="G95" s="3" t="s">
        <v>408</v>
      </c>
      <c r="H95" s="1" t="s">
        <v>409</v>
      </c>
      <c r="I95" s="1" t="s">
        <v>14</v>
      </c>
      <c r="J95" s="1" t="s">
        <v>65</v>
      </c>
    </row>
    <row r="96" customFormat="false" ht="15.75" hidden="false" customHeight="false" outlineLevel="0" collapsed="false">
      <c r="A96" s="2" t="n">
        <v>43221.4677968866</v>
      </c>
      <c r="B96" s="1" t="s">
        <v>410</v>
      </c>
      <c r="C96" s="1" t="s">
        <v>411</v>
      </c>
      <c r="D96" s="1" t="n">
        <v>10</v>
      </c>
      <c r="E96" s="1" t="s">
        <v>328</v>
      </c>
      <c r="G96" s="3" t="s">
        <v>412</v>
      </c>
      <c r="H96" s="1" t="s">
        <v>413</v>
      </c>
      <c r="I96" s="1" t="s">
        <v>180</v>
      </c>
      <c r="J96" s="1" t="s">
        <v>45</v>
      </c>
    </row>
    <row r="97" customFormat="false" ht="15.75" hidden="false" customHeight="false" outlineLevel="0" collapsed="false">
      <c r="A97" s="2" t="n">
        <v>43221.5126128704</v>
      </c>
      <c r="B97" s="1" t="s">
        <v>221</v>
      </c>
      <c r="C97" s="1" t="s">
        <v>222</v>
      </c>
      <c r="D97" s="1" t="n">
        <v>8</v>
      </c>
      <c r="E97" s="1" t="s">
        <v>223</v>
      </c>
      <c r="G97" s="3" t="s">
        <v>224</v>
      </c>
      <c r="H97" s="1" t="s">
        <v>225</v>
      </c>
      <c r="I97" s="1" t="s">
        <v>15</v>
      </c>
      <c r="J97" s="1" t="s">
        <v>148</v>
      </c>
    </row>
    <row r="98" customFormat="false" ht="15.75" hidden="false" customHeight="false" outlineLevel="0" collapsed="false">
      <c r="A98" s="2" t="n">
        <v>43221.6035221759</v>
      </c>
      <c r="B98" s="1" t="s">
        <v>414</v>
      </c>
      <c r="C98" s="1" t="s">
        <v>25</v>
      </c>
      <c r="D98" s="1" t="n">
        <v>10</v>
      </c>
      <c r="E98" s="1" t="s">
        <v>131</v>
      </c>
      <c r="G98" s="1" t="s">
        <v>43</v>
      </c>
      <c r="H98" s="1" t="s">
        <v>415</v>
      </c>
      <c r="I98" s="1" t="s">
        <v>29</v>
      </c>
      <c r="J98" s="1" t="s">
        <v>23</v>
      </c>
    </row>
    <row r="99" customFormat="false" ht="15.75" hidden="false" customHeight="false" outlineLevel="0" collapsed="false">
      <c r="A99" s="2" t="n">
        <v>43221.6140246991</v>
      </c>
      <c r="B99" s="1" t="s">
        <v>416</v>
      </c>
      <c r="C99" s="1" t="s">
        <v>251</v>
      </c>
      <c r="D99" s="1" t="n">
        <v>9</v>
      </c>
      <c r="E99" s="1" t="s">
        <v>417</v>
      </c>
      <c r="F99" s="1" t="s">
        <v>418</v>
      </c>
      <c r="G99" s="3" t="s">
        <v>419</v>
      </c>
      <c r="H99" s="1" t="s">
        <v>420</v>
      </c>
      <c r="I99" s="1" t="s">
        <v>29</v>
      </c>
      <c r="J99" s="1" t="s">
        <v>148</v>
      </c>
    </row>
    <row r="100" customFormat="false" ht="15.75" hidden="false" customHeight="false" outlineLevel="0" collapsed="false">
      <c r="A100" s="2" t="n">
        <v>43221.6194452778</v>
      </c>
      <c r="B100" s="1" t="s">
        <v>421</v>
      </c>
      <c r="C100" s="1" t="s">
        <v>31</v>
      </c>
      <c r="D100" s="1" t="n">
        <v>8</v>
      </c>
      <c r="E100" s="1" t="s">
        <v>328</v>
      </c>
      <c r="G100" s="3" t="s">
        <v>422</v>
      </c>
      <c r="H100" s="1" t="s">
        <v>423</v>
      </c>
      <c r="I100" s="1" t="s">
        <v>40</v>
      </c>
      <c r="J100" s="1" t="s">
        <v>85</v>
      </c>
    </row>
    <row r="101" customFormat="false" ht="15.75" hidden="false" customHeight="false" outlineLevel="0" collapsed="false">
      <c r="A101" s="2" t="n">
        <v>43221.6501416435</v>
      </c>
      <c r="B101" s="1" t="s">
        <v>424</v>
      </c>
      <c r="C101" s="1" t="s">
        <v>237</v>
      </c>
      <c r="D101" s="1" t="n">
        <v>9</v>
      </c>
      <c r="E101" s="1" t="s">
        <v>328</v>
      </c>
      <c r="G101" s="1" t="s">
        <v>43</v>
      </c>
      <c r="H101" s="1" t="s">
        <v>425</v>
      </c>
      <c r="I101" s="1" t="s">
        <v>40</v>
      </c>
      <c r="J101" s="1" t="s">
        <v>85</v>
      </c>
    </row>
    <row r="102" customFormat="false" ht="15.75" hidden="false" customHeight="false" outlineLevel="0" collapsed="false">
      <c r="A102" s="2" t="n">
        <v>43221.6979844213</v>
      </c>
      <c r="B102" s="1" t="s">
        <v>426</v>
      </c>
      <c r="C102" s="1" t="s">
        <v>364</v>
      </c>
      <c r="D102" s="1" t="n">
        <v>10</v>
      </c>
      <c r="E102" s="1" t="s">
        <v>328</v>
      </c>
      <c r="G102" s="3" t="s">
        <v>427</v>
      </c>
      <c r="H102" s="1" t="s">
        <v>428</v>
      </c>
      <c r="I102" s="1" t="s">
        <v>50</v>
      </c>
      <c r="J102" s="1" t="s">
        <v>45</v>
      </c>
    </row>
    <row r="103" customFormat="false" ht="15.75" hidden="false" customHeight="false" outlineLevel="0" collapsed="false">
      <c r="A103" s="2" t="n">
        <v>43221.8118024653</v>
      </c>
      <c r="B103" s="1" t="s">
        <v>429</v>
      </c>
      <c r="C103" s="1" t="s">
        <v>430</v>
      </c>
      <c r="D103" s="1" t="n">
        <v>8</v>
      </c>
      <c r="E103" s="1" t="s">
        <v>37</v>
      </c>
      <c r="G103" s="3" t="s">
        <v>431</v>
      </c>
      <c r="H103" s="1" t="s">
        <v>432</v>
      </c>
      <c r="I103" s="1" t="s">
        <v>70</v>
      </c>
      <c r="J103" s="1" t="s">
        <v>85</v>
      </c>
    </row>
    <row r="104" customFormat="false" ht="15.75" hidden="false" customHeight="false" outlineLevel="0" collapsed="false">
      <c r="A104" s="2" t="n">
        <v>43221.8337743866</v>
      </c>
      <c r="B104" s="1" t="s">
        <v>433</v>
      </c>
      <c r="C104" s="1" t="s">
        <v>67</v>
      </c>
      <c r="D104" s="1" t="n">
        <v>8</v>
      </c>
      <c r="E104" s="1" t="s">
        <v>434</v>
      </c>
      <c r="G104" s="3" t="s">
        <v>435</v>
      </c>
      <c r="H104" s="1" t="s">
        <v>436</v>
      </c>
      <c r="I104" s="1" t="s">
        <v>15</v>
      </c>
      <c r="J104" s="1" t="s">
        <v>22</v>
      </c>
    </row>
    <row r="105" customFormat="false" ht="15.75" hidden="false" customHeight="false" outlineLevel="0" collapsed="false">
      <c r="A105" s="2" t="n">
        <v>43221.8255876736</v>
      </c>
      <c r="B105" s="1" t="s">
        <v>437</v>
      </c>
      <c r="C105" s="1" t="s">
        <v>97</v>
      </c>
      <c r="D105" s="1" t="n">
        <v>10</v>
      </c>
      <c r="E105" s="1" t="s">
        <v>438</v>
      </c>
      <c r="G105" s="3" t="s">
        <v>439</v>
      </c>
      <c r="H105" s="1" t="s">
        <v>440</v>
      </c>
      <c r="I105" s="1" t="s">
        <v>70</v>
      </c>
      <c r="J105" s="1" t="s">
        <v>23</v>
      </c>
    </row>
    <row r="106" customFormat="false" ht="15.75" hidden="false" customHeight="false" outlineLevel="0" collapsed="false">
      <c r="A106" s="2" t="n">
        <v>43221.8256128588</v>
      </c>
      <c r="B106" s="1" t="s">
        <v>441</v>
      </c>
      <c r="C106" s="1" t="s">
        <v>442</v>
      </c>
      <c r="D106" s="1" t="n">
        <v>10</v>
      </c>
      <c r="E106" s="1" t="s">
        <v>443</v>
      </c>
      <c r="G106" s="3" t="s">
        <v>444</v>
      </c>
      <c r="H106" s="1" t="s">
        <v>445</v>
      </c>
      <c r="I106" s="1" t="s">
        <v>70</v>
      </c>
      <c r="J106" s="1" t="s">
        <v>23</v>
      </c>
    </row>
    <row r="107" customFormat="false" ht="15.75" hidden="false" customHeight="false" outlineLevel="0" collapsed="false">
      <c r="A107" s="2" t="n">
        <v>43221.836970081</v>
      </c>
      <c r="B107" s="1" t="s">
        <v>446</v>
      </c>
      <c r="C107" s="1" t="s">
        <v>237</v>
      </c>
      <c r="D107" s="1" t="n">
        <v>10</v>
      </c>
      <c r="E107" s="1" t="s">
        <v>200</v>
      </c>
      <c r="G107" s="3" t="s">
        <v>447</v>
      </c>
      <c r="H107" s="1" t="s">
        <v>448</v>
      </c>
      <c r="I107" s="1" t="s">
        <v>29</v>
      </c>
      <c r="J107" s="1" t="s">
        <v>109</v>
      </c>
    </row>
    <row r="108" customFormat="false" ht="15.75" hidden="false" customHeight="false" outlineLevel="0" collapsed="false">
      <c r="A108" s="2" t="n">
        <v>43221.8391082407</v>
      </c>
      <c r="B108" s="1" t="s">
        <v>449</v>
      </c>
      <c r="C108" s="1" t="s">
        <v>450</v>
      </c>
      <c r="D108" s="1" t="n">
        <v>10</v>
      </c>
      <c r="E108" s="1" t="s">
        <v>200</v>
      </c>
      <c r="G108" s="3" t="s">
        <v>451</v>
      </c>
      <c r="H108" s="1" t="s">
        <v>452</v>
      </c>
      <c r="I108" s="1" t="s">
        <v>29</v>
      </c>
      <c r="J108" s="1" t="s">
        <v>109</v>
      </c>
    </row>
    <row r="109" customFormat="false" ht="15.75" hidden="false" customHeight="false" outlineLevel="0" collapsed="false">
      <c r="A109" s="2" t="n">
        <v>43221.8653332986</v>
      </c>
      <c r="B109" s="1" t="s">
        <v>154</v>
      </c>
      <c r="C109" s="1" t="s">
        <v>155</v>
      </c>
      <c r="D109" s="1" t="n">
        <v>10</v>
      </c>
      <c r="E109" s="1" t="s">
        <v>177</v>
      </c>
      <c r="G109" s="3" t="s">
        <v>158</v>
      </c>
      <c r="H109" s="1" t="s">
        <v>159</v>
      </c>
      <c r="I109" s="1" t="s">
        <v>80</v>
      </c>
      <c r="J109" s="1" t="s">
        <v>109</v>
      </c>
    </row>
    <row r="110" customFormat="false" ht="15.75" hidden="false" customHeight="false" outlineLevel="0" collapsed="false">
      <c r="A110" s="2" t="n">
        <v>43221.8669291088</v>
      </c>
      <c r="B110" s="1" t="s">
        <v>453</v>
      </c>
      <c r="C110" s="1" t="s">
        <v>454</v>
      </c>
      <c r="D110" s="1" t="n">
        <v>10</v>
      </c>
      <c r="E110" s="1" t="s">
        <v>455</v>
      </c>
      <c r="G110" s="3" t="s">
        <v>456</v>
      </c>
      <c r="H110" s="1" t="s">
        <v>457</v>
      </c>
      <c r="I110" s="1" t="s">
        <v>80</v>
      </c>
      <c r="J110" s="1" t="s">
        <v>23</v>
      </c>
    </row>
    <row r="111" customFormat="false" ht="15.75" hidden="false" customHeight="false" outlineLevel="0" collapsed="false">
      <c r="A111" s="2" t="n">
        <v>43221.939024213</v>
      </c>
      <c r="B111" s="1" t="s">
        <v>263</v>
      </c>
      <c r="C111" s="1" t="s">
        <v>264</v>
      </c>
      <c r="D111" s="1" t="n">
        <v>7</v>
      </c>
      <c r="E111" s="1" t="s">
        <v>434</v>
      </c>
      <c r="G111" s="3" t="s">
        <v>266</v>
      </c>
      <c r="H111" s="1" t="s">
        <v>267</v>
      </c>
      <c r="I111" s="1" t="s">
        <v>51</v>
      </c>
      <c r="J111" s="1" t="s">
        <v>65</v>
      </c>
    </row>
    <row r="112" customFormat="false" ht="15.75" hidden="false" customHeight="false" outlineLevel="0" collapsed="false">
      <c r="A112" s="2" t="n">
        <v>43222.3696486574</v>
      </c>
      <c r="B112" s="1" t="s">
        <v>458</v>
      </c>
      <c r="C112" s="1" t="s">
        <v>459</v>
      </c>
      <c r="D112" s="1" t="n">
        <v>8</v>
      </c>
      <c r="E112" s="1" t="s">
        <v>82</v>
      </c>
      <c r="G112" s="3" t="s">
        <v>460</v>
      </c>
      <c r="H112" s="1" t="s">
        <v>461</v>
      </c>
      <c r="I112" s="1" t="s">
        <v>29</v>
      </c>
      <c r="J112" s="1" t="s">
        <v>85</v>
      </c>
    </row>
    <row r="113" customFormat="false" ht="15.75" hidden="false" customHeight="false" outlineLevel="0" collapsed="false">
      <c r="A113" s="2" t="n">
        <v>43222.4018072106</v>
      </c>
      <c r="B113" s="1" t="s">
        <v>462</v>
      </c>
      <c r="C113" s="1" t="s">
        <v>264</v>
      </c>
      <c r="D113" s="1" t="n">
        <v>10</v>
      </c>
      <c r="E113" s="1" t="s">
        <v>37</v>
      </c>
      <c r="G113" s="3" t="s">
        <v>463</v>
      </c>
      <c r="H113" s="1" t="s">
        <v>464</v>
      </c>
      <c r="I113" s="1" t="s">
        <v>29</v>
      </c>
      <c r="J113" s="1" t="s">
        <v>109</v>
      </c>
    </row>
    <row r="114" customFormat="false" ht="15.75" hidden="false" customHeight="false" outlineLevel="0" collapsed="false">
      <c r="A114" s="2" t="n">
        <v>43222.4118043866</v>
      </c>
      <c r="B114" s="1" t="s">
        <v>465</v>
      </c>
      <c r="C114" s="1" t="s">
        <v>466</v>
      </c>
      <c r="D114" s="1" t="n">
        <v>9</v>
      </c>
      <c r="E114" s="1" t="s">
        <v>467</v>
      </c>
      <c r="G114" s="1" t="s">
        <v>43</v>
      </c>
      <c r="H114" s="1" t="s">
        <v>468</v>
      </c>
      <c r="I114" s="1" t="s">
        <v>29</v>
      </c>
      <c r="J114" s="1" t="s">
        <v>40</v>
      </c>
    </row>
    <row r="115" customFormat="false" ht="15.75" hidden="false" customHeight="false" outlineLevel="0" collapsed="false">
      <c r="A115" s="2" t="n">
        <v>43222.4124764931</v>
      </c>
      <c r="B115" s="1" t="s">
        <v>469</v>
      </c>
      <c r="C115" s="1" t="s">
        <v>442</v>
      </c>
      <c r="D115" s="1" t="n">
        <v>9</v>
      </c>
      <c r="E115" s="1" t="s">
        <v>470</v>
      </c>
      <c r="G115" s="3" t="s">
        <v>471</v>
      </c>
      <c r="H115" s="1" t="s">
        <v>472</v>
      </c>
      <c r="I115" s="1" t="s">
        <v>40</v>
      </c>
      <c r="J115" s="1" t="s">
        <v>40</v>
      </c>
    </row>
    <row r="116" customFormat="false" ht="15.75" hidden="false" customHeight="false" outlineLevel="0" collapsed="false">
      <c r="A116" s="2" t="n">
        <v>43222.4563204398</v>
      </c>
      <c r="B116" s="1" t="s">
        <v>473</v>
      </c>
      <c r="C116" s="1" t="s">
        <v>474</v>
      </c>
      <c r="D116" s="1" t="n">
        <v>8</v>
      </c>
      <c r="E116" s="1" t="s">
        <v>475</v>
      </c>
      <c r="G116" s="3" t="s">
        <v>476</v>
      </c>
      <c r="H116" s="1" t="s">
        <v>477</v>
      </c>
      <c r="I116" s="1" t="s">
        <v>70</v>
      </c>
      <c r="J116" s="1" t="s">
        <v>51</v>
      </c>
    </row>
    <row r="117" customFormat="false" ht="15.75" hidden="false" customHeight="false" outlineLevel="0" collapsed="false">
      <c r="A117" s="2" t="n">
        <v>43222.6095442477</v>
      </c>
      <c r="B117" s="1" t="s">
        <v>478</v>
      </c>
      <c r="C117" s="1" t="s">
        <v>61</v>
      </c>
      <c r="D117" s="1" t="n">
        <v>8</v>
      </c>
      <c r="E117" s="1" t="s">
        <v>479</v>
      </c>
      <c r="G117" s="3" t="s">
        <v>480</v>
      </c>
      <c r="H117" s="1" t="s">
        <v>481</v>
      </c>
      <c r="I117" s="1" t="s">
        <v>50</v>
      </c>
      <c r="J117" s="1" t="s">
        <v>40</v>
      </c>
    </row>
    <row r="118" customFormat="false" ht="15.75" hidden="false" customHeight="false" outlineLevel="0" collapsed="false">
      <c r="A118" s="2" t="n">
        <v>43222.6566593634</v>
      </c>
      <c r="B118" s="1" t="s">
        <v>482</v>
      </c>
      <c r="C118" s="1" t="s">
        <v>483</v>
      </c>
      <c r="D118" s="1" t="n">
        <v>7</v>
      </c>
      <c r="E118" s="1" t="s">
        <v>484</v>
      </c>
      <c r="G118" s="3" t="s">
        <v>485</v>
      </c>
      <c r="H118" s="1" t="s">
        <v>486</v>
      </c>
      <c r="I118" s="1" t="s">
        <v>40</v>
      </c>
      <c r="J118" s="1" t="s">
        <v>128</v>
      </c>
    </row>
    <row r="119" customFormat="false" ht="15.75" hidden="false" customHeight="false" outlineLevel="0" collapsed="false">
      <c r="A119" s="2" t="n">
        <v>43222.7747455903</v>
      </c>
      <c r="B119" s="1" t="s">
        <v>487</v>
      </c>
      <c r="C119" s="1" t="s">
        <v>115</v>
      </c>
      <c r="D119" s="1" t="n">
        <v>8</v>
      </c>
      <c r="E119" s="1" t="s">
        <v>470</v>
      </c>
      <c r="G119" s="3" t="s">
        <v>488</v>
      </c>
      <c r="H119" s="1" t="s">
        <v>489</v>
      </c>
      <c r="I119" s="1" t="s">
        <v>15</v>
      </c>
      <c r="J119" s="1" t="s">
        <v>22</v>
      </c>
    </row>
    <row r="120" customFormat="false" ht="15.75" hidden="false" customHeight="false" outlineLevel="0" collapsed="false">
      <c r="A120" s="2" t="n">
        <v>43222.936296331</v>
      </c>
      <c r="B120" s="1" t="s">
        <v>490</v>
      </c>
      <c r="C120" s="1" t="s">
        <v>251</v>
      </c>
      <c r="D120" s="1" t="n">
        <v>9</v>
      </c>
      <c r="E120" s="1" t="n">
        <v>117</v>
      </c>
      <c r="F120" s="1" t="s">
        <v>491</v>
      </c>
      <c r="G120" s="3" t="s">
        <v>492</v>
      </c>
      <c r="H120" s="1" t="s">
        <v>493</v>
      </c>
      <c r="I120" s="1" t="s">
        <v>70</v>
      </c>
      <c r="J120" s="1" t="s">
        <v>65</v>
      </c>
    </row>
    <row r="121" customFormat="false" ht="15.75" hidden="false" customHeight="false" outlineLevel="0" collapsed="false">
      <c r="A121" s="2" t="n">
        <v>43223.3229644213</v>
      </c>
      <c r="B121" s="1" t="s">
        <v>494</v>
      </c>
      <c r="C121" s="1" t="s">
        <v>115</v>
      </c>
      <c r="D121" s="1" t="n">
        <v>7</v>
      </c>
      <c r="E121" s="1" t="s">
        <v>495</v>
      </c>
      <c r="G121" s="3" t="s">
        <v>117</v>
      </c>
      <c r="H121" s="1" t="s">
        <v>118</v>
      </c>
      <c r="I121" s="1" t="s">
        <v>40</v>
      </c>
      <c r="J121" s="1" t="s">
        <v>85</v>
      </c>
    </row>
    <row r="122" customFormat="false" ht="15.75" hidden="false" customHeight="false" outlineLevel="0" collapsed="false">
      <c r="A122" s="2" t="n">
        <v>43223.536213125</v>
      </c>
      <c r="B122" s="1" t="s">
        <v>496</v>
      </c>
      <c r="C122" s="1" t="s">
        <v>97</v>
      </c>
      <c r="D122" s="1" t="n">
        <v>10</v>
      </c>
      <c r="E122" s="1" t="n">
        <v>149</v>
      </c>
      <c r="G122" s="3" t="s">
        <v>497</v>
      </c>
      <c r="H122" s="1" t="s">
        <v>498</v>
      </c>
      <c r="I122" s="1" t="s">
        <v>70</v>
      </c>
      <c r="J122" s="1" t="s">
        <v>85</v>
      </c>
    </row>
    <row r="123" customFormat="false" ht="15.75" hidden="false" customHeight="false" outlineLevel="0" collapsed="false">
      <c r="A123" s="2" t="n">
        <v>43223.721086956</v>
      </c>
      <c r="B123" s="1" t="s">
        <v>499</v>
      </c>
      <c r="C123" s="1" t="s">
        <v>500</v>
      </c>
      <c r="D123" s="1" t="n">
        <v>9</v>
      </c>
      <c r="E123" s="1" t="s">
        <v>434</v>
      </c>
      <c r="F123" s="1" t="s">
        <v>501</v>
      </c>
      <c r="G123" s="3" t="s">
        <v>502</v>
      </c>
      <c r="H123" s="1" t="s">
        <v>503</v>
      </c>
      <c r="I123" s="1" t="s">
        <v>148</v>
      </c>
      <c r="J123" s="1" t="s">
        <v>15</v>
      </c>
    </row>
    <row r="124" customFormat="false" ht="15.75" hidden="false" customHeight="false" outlineLevel="0" collapsed="false">
      <c r="A124" s="2" t="n">
        <v>43223.7215397222</v>
      </c>
      <c r="B124" s="1" t="s">
        <v>504</v>
      </c>
      <c r="C124" s="1" t="s">
        <v>150</v>
      </c>
      <c r="D124" s="1" t="n">
        <v>9</v>
      </c>
      <c r="E124" s="1" t="s">
        <v>505</v>
      </c>
      <c r="G124" s="3" t="s">
        <v>506</v>
      </c>
      <c r="H124" s="1" t="s">
        <v>507</v>
      </c>
      <c r="I124" s="1" t="s">
        <v>148</v>
      </c>
      <c r="J124" s="1" t="s">
        <v>15</v>
      </c>
    </row>
    <row r="125" customFormat="false" ht="15.75" hidden="false" customHeight="false" outlineLevel="0" collapsed="false">
      <c r="A125" s="2" t="n">
        <v>43223.7379862731</v>
      </c>
      <c r="B125" s="1" t="s">
        <v>508</v>
      </c>
      <c r="C125" s="1" t="s">
        <v>509</v>
      </c>
      <c r="D125" s="1" t="n">
        <v>9</v>
      </c>
      <c r="E125" s="1" t="s">
        <v>125</v>
      </c>
      <c r="G125" s="3" t="s">
        <v>510</v>
      </c>
      <c r="H125" s="1" t="s">
        <v>511</v>
      </c>
      <c r="I125" s="1" t="s">
        <v>70</v>
      </c>
      <c r="J125" s="1" t="s">
        <v>65</v>
      </c>
    </row>
    <row r="126" customFormat="false" ht="15.75" hidden="false" customHeight="false" outlineLevel="0" collapsed="false">
      <c r="A126" s="2" t="n">
        <v>43223.7547053009</v>
      </c>
      <c r="B126" s="1" t="s">
        <v>512</v>
      </c>
      <c r="C126" s="1" t="s">
        <v>513</v>
      </c>
      <c r="D126" s="1" t="n">
        <v>9</v>
      </c>
      <c r="E126" s="1" t="s">
        <v>328</v>
      </c>
      <c r="G126" s="3" t="s">
        <v>514</v>
      </c>
      <c r="H126" s="1" t="s">
        <v>515</v>
      </c>
      <c r="I126" s="1" t="s">
        <v>22</v>
      </c>
      <c r="J126" s="1" t="s">
        <v>22</v>
      </c>
    </row>
    <row r="127" customFormat="false" ht="15.75" hidden="false" customHeight="false" outlineLevel="0" collapsed="false">
      <c r="A127" s="2" t="n">
        <v>43223.7593068056</v>
      </c>
      <c r="B127" s="1" t="s">
        <v>516</v>
      </c>
      <c r="C127" s="1" t="s">
        <v>517</v>
      </c>
      <c r="D127" s="1" t="n">
        <v>9</v>
      </c>
      <c r="E127" s="1" t="s">
        <v>37</v>
      </c>
      <c r="G127" s="3" t="s">
        <v>518</v>
      </c>
      <c r="H127" s="1" t="s">
        <v>519</v>
      </c>
      <c r="I127" s="1" t="s">
        <v>22</v>
      </c>
      <c r="J127" s="1" t="s">
        <v>22</v>
      </c>
    </row>
    <row r="128" customFormat="false" ht="15.75" hidden="false" customHeight="false" outlineLevel="0" collapsed="false">
      <c r="A128" s="2" t="n">
        <v>43223.7625038657</v>
      </c>
      <c r="B128" s="1" t="s">
        <v>520</v>
      </c>
      <c r="C128" s="1" t="s">
        <v>350</v>
      </c>
      <c r="D128" s="1" t="n">
        <v>7</v>
      </c>
      <c r="E128" s="1" t="s">
        <v>521</v>
      </c>
      <c r="F128" s="1" t="s">
        <v>522</v>
      </c>
      <c r="G128" s="3" t="s">
        <v>523</v>
      </c>
      <c r="H128" s="1" t="s">
        <v>524</v>
      </c>
      <c r="I128" s="1" t="s">
        <v>51</v>
      </c>
      <c r="J128" s="1" t="s">
        <v>40</v>
      </c>
    </row>
    <row r="129" customFormat="false" ht="15.75" hidden="false" customHeight="false" outlineLevel="0" collapsed="false">
      <c r="A129" s="2" t="n">
        <v>43223.7627728241</v>
      </c>
      <c r="B129" s="1" t="s">
        <v>247</v>
      </c>
      <c r="C129" s="1" t="s">
        <v>195</v>
      </c>
      <c r="D129" s="1" t="n">
        <v>8</v>
      </c>
      <c r="E129" s="1" t="n">
        <v>117</v>
      </c>
      <c r="G129" s="3" t="s">
        <v>525</v>
      </c>
      <c r="H129" s="1" t="s">
        <v>526</v>
      </c>
      <c r="I129" s="1" t="s">
        <v>70</v>
      </c>
      <c r="J129" s="1" t="s">
        <v>23</v>
      </c>
    </row>
    <row r="130" customFormat="false" ht="15.75" hidden="false" customHeight="false" outlineLevel="0" collapsed="false">
      <c r="A130" s="2" t="n">
        <v>43223.7632475232</v>
      </c>
      <c r="B130" s="1" t="s">
        <v>490</v>
      </c>
      <c r="C130" s="1" t="s">
        <v>251</v>
      </c>
      <c r="D130" s="1" t="n">
        <v>9</v>
      </c>
      <c r="E130" s="1" t="n">
        <v>117</v>
      </c>
      <c r="G130" s="3" t="s">
        <v>492</v>
      </c>
      <c r="H130" s="1" t="s">
        <v>527</v>
      </c>
      <c r="I130" s="1" t="s">
        <v>70</v>
      </c>
      <c r="J130" s="1" t="s">
        <v>65</v>
      </c>
    </row>
    <row r="131" customFormat="false" ht="15.75" hidden="false" customHeight="false" outlineLevel="0" collapsed="false">
      <c r="A131" s="2" t="n">
        <v>43223.776583588</v>
      </c>
      <c r="B131" s="1" t="s">
        <v>528</v>
      </c>
      <c r="C131" s="1" t="s">
        <v>529</v>
      </c>
      <c r="D131" s="1" t="n">
        <v>9</v>
      </c>
      <c r="E131" s="1" t="n">
        <v>36</v>
      </c>
      <c r="G131" s="3" t="s">
        <v>530</v>
      </c>
      <c r="H131" s="1" t="s">
        <v>531</v>
      </c>
      <c r="I131" s="1" t="s">
        <v>80</v>
      </c>
      <c r="J131" s="1" t="s">
        <v>22</v>
      </c>
    </row>
    <row r="132" customFormat="false" ht="15.75" hidden="false" customHeight="false" outlineLevel="0" collapsed="false">
      <c r="A132" s="2" t="n">
        <v>43223.7834150579</v>
      </c>
      <c r="B132" s="1" t="s">
        <v>532</v>
      </c>
      <c r="C132" s="1" t="s">
        <v>533</v>
      </c>
      <c r="D132" s="1" t="n">
        <v>9</v>
      </c>
      <c r="E132" s="1" t="n">
        <v>117</v>
      </c>
      <c r="G132" s="3" t="s">
        <v>534</v>
      </c>
      <c r="H132" s="1" t="s">
        <v>535</v>
      </c>
      <c r="I132" s="1" t="s">
        <v>40</v>
      </c>
      <c r="J132" s="1" t="s">
        <v>40</v>
      </c>
    </row>
    <row r="133" customFormat="false" ht="15.75" hidden="false" customHeight="false" outlineLevel="0" collapsed="false">
      <c r="A133" s="2" t="n">
        <v>43223.7955093056</v>
      </c>
      <c r="B133" s="1" t="s">
        <v>536</v>
      </c>
      <c r="C133" s="1" t="s">
        <v>537</v>
      </c>
      <c r="D133" s="1" t="n">
        <v>8</v>
      </c>
      <c r="E133" s="1" t="n">
        <v>117</v>
      </c>
      <c r="G133" s="3" t="s">
        <v>538</v>
      </c>
      <c r="H133" s="1" t="s">
        <v>539</v>
      </c>
      <c r="I133" s="1" t="s">
        <v>40</v>
      </c>
      <c r="J133" s="1" t="s">
        <v>65</v>
      </c>
    </row>
    <row r="134" customFormat="false" ht="15.75" hidden="false" customHeight="false" outlineLevel="0" collapsed="false">
      <c r="A134" s="2" t="n">
        <v>43223.8218535764</v>
      </c>
      <c r="B134" s="1" t="s">
        <v>540</v>
      </c>
      <c r="C134" s="1" t="s">
        <v>541</v>
      </c>
      <c r="D134" s="1" t="n">
        <v>9</v>
      </c>
      <c r="E134" s="1" t="s">
        <v>542</v>
      </c>
      <c r="G134" s="3" t="s">
        <v>543</v>
      </c>
      <c r="H134" s="1" t="s">
        <v>544</v>
      </c>
      <c r="I134" s="1" t="s">
        <v>22</v>
      </c>
      <c r="J134" s="1" t="s">
        <v>15</v>
      </c>
    </row>
    <row r="135" customFormat="false" ht="15.75" hidden="false" customHeight="false" outlineLevel="0" collapsed="false">
      <c r="A135" s="2" t="n">
        <v>43223.8518812037</v>
      </c>
      <c r="B135" s="1" t="s">
        <v>545</v>
      </c>
      <c r="C135" s="1" t="s">
        <v>459</v>
      </c>
      <c r="D135" s="1" t="n">
        <v>8</v>
      </c>
      <c r="E135" s="1" t="n">
        <v>44</v>
      </c>
      <c r="F135" s="1" t="s">
        <v>546</v>
      </c>
      <c r="G135" s="3" t="s">
        <v>547</v>
      </c>
      <c r="H135" s="1" t="s">
        <v>548</v>
      </c>
      <c r="I135" s="1" t="s">
        <v>50</v>
      </c>
      <c r="J135" s="1" t="s">
        <v>40</v>
      </c>
    </row>
    <row r="136" customFormat="false" ht="15.75" hidden="false" customHeight="false" outlineLevel="0" collapsed="false">
      <c r="A136" s="2" t="n">
        <v>43223.8547573264</v>
      </c>
      <c r="B136" s="1" t="s">
        <v>545</v>
      </c>
      <c r="C136" s="1" t="s">
        <v>459</v>
      </c>
      <c r="D136" s="1" t="n">
        <v>8</v>
      </c>
      <c r="E136" s="1" t="n">
        <v>44</v>
      </c>
      <c r="F136" s="1" t="s">
        <v>549</v>
      </c>
      <c r="G136" s="3" t="s">
        <v>547</v>
      </c>
      <c r="H136" s="1" t="s">
        <v>548</v>
      </c>
      <c r="I136" s="1" t="s">
        <v>50</v>
      </c>
      <c r="J136" s="1" t="s">
        <v>40</v>
      </c>
    </row>
    <row r="137" customFormat="false" ht="15.75" hidden="false" customHeight="false" outlineLevel="0" collapsed="false">
      <c r="A137" s="2" t="n">
        <v>43224.2159192708</v>
      </c>
      <c r="B137" s="1" t="s">
        <v>494</v>
      </c>
      <c r="C137" s="1" t="s">
        <v>115</v>
      </c>
      <c r="D137" s="1" t="n">
        <v>7</v>
      </c>
      <c r="E137" s="1" t="s">
        <v>116</v>
      </c>
      <c r="G137" s="3" t="s">
        <v>117</v>
      </c>
      <c r="H137" s="1" t="s">
        <v>118</v>
      </c>
      <c r="I137" s="1" t="s">
        <v>51</v>
      </c>
      <c r="J137" s="1" t="s">
        <v>40</v>
      </c>
    </row>
    <row r="138" customFormat="false" ht="15.75" hidden="false" customHeight="false" outlineLevel="0" collapsed="false">
      <c r="A138" s="2" t="n">
        <v>43224.4855982523</v>
      </c>
      <c r="B138" s="1" t="s">
        <v>550</v>
      </c>
      <c r="C138" s="1" t="s">
        <v>551</v>
      </c>
      <c r="D138" s="1" t="n">
        <v>9</v>
      </c>
      <c r="E138" s="1" t="s">
        <v>328</v>
      </c>
      <c r="F138" s="1" t="s">
        <v>552</v>
      </c>
      <c r="G138" s="3" t="s">
        <v>553</v>
      </c>
      <c r="H138" s="1" t="s">
        <v>554</v>
      </c>
      <c r="I138" s="1" t="s">
        <v>22</v>
      </c>
      <c r="J138" s="1" t="s">
        <v>51</v>
      </c>
    </row>
    <row r="139" customFormat="false" ht="15.75" hidden="false" customHeight="false" outlineLevel="0" collapsed="false">
      <c r="A139" s="2" t="n">
        <v>43224.5432494329</v>
      </c>
      <c r="B139" s="1" t="s">
        <v>555</v>
      </c>
      <c r="C139" s="1" t="s">
        <v>264</v>
      </c>
      <c r="D139" s="1" t="n">
        <v>10</v>
      </c>
      <c r="E139" s="1" t="n">
        <v>117</v>
      </c>
      <c r="G139" s="3" t="s">
        <v>556</v>
      </c>
      <c r="H139" s="1" t="s">
        <v>557</v>
      </c>
      <c r="I139" s="1" t="s">
        <v>50</v>
      </c>
      <c r="J139" s="1" t="s">
        <v>40</v>
      </c>
    </row>
    <row r="140" customFormat="false" ht="15.75" hidden="false" customHeight="false" outlineLevel="0" collapsed="false">
      <c r="A140" s="2" t="n">
        <v>43224.6667437037</v>
      </c>
      <c r="B140" s="1" t="s">
        <v>558</v>
      </c>
      <c r="C140" s="1" t="s">
        <v>364</v>
      </c>
      <c r="D140" s="1" t="n">
        <v>9</v>
      </c>
      <c r="E140" s="1" t="s">
        <v>559</v>
      </c>
      <c r="G140" s="3" t="s">
        <v>560</v>
      </c>
      <c r="H140" s="1" t="s">
        <v>561</v>
      </c>
      <c r="I140" s="1" t="s">
        <v>70</v>
      </c>
      <c r="J140" s="1" t="s">
        <v>51</v>
      </c>
    </row>
    <row r="141" customFormat="false" ht="15.75" hidden="false" customHeight="false" outlineLevel="0" collapsed="false">
      <c r="A141" s="2" t="n">
        <v>43224.7782697222</v>
      </c>
      <c r="B141" s="1" t="s">
        <v>562</v>
      </c>
      <c r="C141" s="1" t="s">
        <v>215</v>
      </c>
      <c r="D141" s="1" t="n">
        <v>9</v>
      </c>
      <c r="E141" s="1" t="s">
        <v>563</v>
      </c>
      <c r="G141" s="3" t="s">
        <v>564</v>
      </c>
      <c r="H141" s="1" t="s">
        <v>565</v>
      </c>
      <c r="I141" s="1" t="s">
        <v>70</v>
      </c>
      <c r="J141" s="1" t="s">
        <v>45</v>
      </c>
    </row>
    <row r="142" customFormat="false" ht="15.75" hidden="false" customHeight="false" outlineLevel="0" collapsed="false">
      <c r="A142" s="2" t="n">
        <v>43225.515662581</v>
      </c>
      <c r="B142" s="1" t="s">
        <v>566</v>
      </c>
      <c r="C142" s="1" t="s">
        <v>293</v>
      </c>
      <c r="D142" s="1" t="n">
        <v>9</v>
      </c>
      <c r="E142" s="1" t="s">
        <v>563</v>
      </c>
      <c r="G142" s="3" t="s">
        <v>567</v>
      </c>
      <c r="H142" s="1" t="s">
        <v>568</v>
      </c>
      <c r="I142" s="1" t="s">
        <v>15</v>
      </c>
      <c r="J142" s="1" t="s">
        <v>85</v>
      </c>
    </row>
    <row r="143" customFormat="false" ht="15.75" hidden="false" customHeight="false" outlineLevel="0" collapsed="false">
      <c r="A143" s="2" t="n">
        <v>43225.5176483102</v>
      </c>
      <c r="B143" s="1" t="s">
        <v>569</v>
      </c>
      <c r="C143" s="1" t="s">
        <v>570</v>
      </c>
      <c r="D143" s="1" t="n">
        <v>9</v>
      </c>
      <c r="E143" s="1" t="s">
        <v>571</v>
      </c>
      <c r="G143" s="3" t="s">
        <v>572</v>
      </c>
      <c r="H143" s="1" t="s">
        <v>573</v>
      </c>
      <c r="I143" s="1" t="s">
        <v>51</v>
      </c>
      <c r="J143" s="1" t="s">
        <v>22</v>
      </c>
    </row>
    <row r="144" customFormat="false" ht="15.75" hidden="false" customHeight="false" outlineLevel="0" collapsed="false">
      <c r="A144" s="2" t="n">
        <v>43225.6665562616</v>
      </c>
      <c r="B144" s="1" t="s">
        <v>574</v>
      </c>
      <c r="C144" s="1" t="s">
        <v>395</v>
      </c>
      <c r="D144" s="1" t="n">
        <v>7</v>
      </c>
      <c r="E144" s="1" t="s">
        <v>575</v>
      </c>
      <c r="G144" s="3" t="s">
        <v>576</v>
      </c>
      <c r="H144" s="1" t="s">
        <v>577</v>
      </c>
      <c r="I144" s="1" t="s">
        <v>70</v>
      </c>
      <c r="J144" s="1" t="s">
        <v>51</v>
      </c>
    </row>
    <row r="145" customFormat="false" ht="15.75" hidden="false" customHeight="false" outlineLevel="0" collapsed="false">
      <c r="A145" s="2" t="n">
        <v>43225.7389727894</v>
      </c>
      <c r="B145" s="1" t="s">
        <v>578</v>
      </c>
      <c r="C145" s="1" t="s">
        <v>579</v>
      </c>
      <c r="D145" s="1" t="n">
        <v>9</v>
      </c>
      <c r="E145" s="1" t="s">
        <v>131</v>
      </c>
      <c r="G145" s="3" t="s">
        <v>580</v>
      </c>
      <c r="H145" s="1" t="s">
        <v>581</v>
      </c>
      <c r="I145" s="1" t="s">
        <v>15</v>
      </c>
      <c r="J145" s="1" t="s">
        <v>40</v>
      </c>
    </row>
    <row r="146" customFormat="false" ht="15.75" hidden="false" customHeight="false" outlineLevel="0" collapsed="false">
      <c r="A146" s="2" t="n">
        <v>43226.4241093287</v>
      </c>
      <c r="B146" s="1" t="s">
        <v>582</v>
      </c>
      <c r="C146" s="1" t="s">
        <v>150</v>
      </c>
      <c r="D146" s="1" t="n">
        <v>7</v>
      </c>
      <c r="E146" s="1" t="s">
        <v>384</v>
      </c>
      <c r="G146" s="3" t="s">
        <v>583</v>
      </c>
      <c r="H146" s="1" t="s">
        <v>584</v>
      </c>
      <c r="I146" s="1" t="s">
        <v>40</v>
      </c>
      <c r="J146" s="1" t="s">
        <v>29</v>
      </c>
    </row>
    <row r="147" customFormat="false" ht="15.75" hidden="false" customHeight="false" outlineLevel="0" collapsed="false">
      <c r="A147" s="2" t="n">
        <v>43226.5020398264</v>
      </c>
      <c r="B147" s="1" t="s">
        <v>585</v>
      </c>
      <c r="C147" s="1" t="s">
        <v>586</v>
      </c>
      <c r="D147" s="1" t="n">
        <v>8</v>
      </c>
      <c r="E147" s="1" t="s">
        <v>241</v>
      </c>
      <c r="G147" s="3" t="s">
        <v>587</v>
      </c>
      <c r="H147" s="1" t="s">
        <v>588</v>
      </c>
      <c r="I147" s="1" t="s">
        <v>15</v>
      </c>
      <c r="J147" s="1" t="s">
        <v>40</v>
      </c>
    </row>
    <row r="148" customFormat="false" ht="15.75" hidden="false" customHeight="false" outlineLevel="0" collapsed="false">
      <c r="A148" s="2" t="n">
        <v>43226.5960114815</v>
      </c>
      <c r="B148" s="1" t="s">
        <v>589</v>
      </c>
      <c r="C148" s="1" t="s">
        <v>383</v>
      </c>
      <c r="D148" s="1" t="n">
        <v>8</v>
      </c>
      <c r="E148" s="1" t="s">
        <v>37</v>
      </c>
      <c r="G148" s="3" t="s">
        <v>590</v>
      </c>
      <c r="H148" s="1" t="s">
        <v>591</v>
      </c>
      <c r="I148" s="1" t="s">
        <v>40</v>
      </c>
      <c r="J148" s="1" t="s">
        <v>45</v>
      </c>
    </row>
    <row r="149" customFormat="false" ht="15.75" hidden="false" customHeight="false" outlineLevel="0" collapsed="false">
      <c r="A149" s="2" t="n">
        <v>43226.7282629051</v>
      </c>
      <c r="B149" s="1" t="s">
        <v>592</v>
      </c>
      <c r="C149" s="1" t="s">
        <v>593</v>
      </c>
      <c r="D149" s="1" t="n">
        <v>9</v>
      </c>
      <c r="E149" s="1" t="s">
        <v>594</v>
      </c>
      <c r="G149" s="3" t="s">
        <v>595</v>
      </c>
      <c r="H149" s="1" t="s">
        <v>596</v>
      </c>
      <c r="I149" s="1" t="s">
        <v>70</v>
      </c>
      <c r="J149" s="1" t="s">
        <v>65</v>
      </c>
    </row>
    <row r="150" customFormat="false" ht="15.75" hidden="false" customHeight="false" outlineLevel="0" collapsed="false">
      <c r="A150" s="2" t="n">
        <v>43226.7540164352</v>
      </c>
      <c r="B150" s="1" t="s">
        <v>154</v>
      </c>
      <c r="C150" s="1" t="s">
        <v>237</v>
      </c>
      <c r="D150" s="1" t="n">
        <v>8</v>
      </c>
      <c r="E150" s="1" t="n">
        <v>123</v>
      </c>
      <c r="G150" s="3" t="s">
        <v>597</v>
      </c>
      <c r="H150" s="1" t="s">
        <v>598</v>
      </c>
      <c r="I150" s="1" t="s">
        <v>22</v>
      </c>
      <c r="J150" s="1" t="s">
        <v>45</v>
      </c>
    </row>
    <row r="151" customFormat="false" ht="15.75" hidden="false" customHeight="false" outlineLevel="0" collapsed="false">
      <c r="A151" s="2" t="n">
        <v>43226.7551663426</v>
      </c>
      <c r="B151" s="1" t="s">
        <v>599</v>
      </c>
      <c r="C151" s="1" t="s">
        <v>161</v>
      </c>
      <c r="D151" s="1" t="n">
        <v>10</v>
      </c>
      <c r="E151" s="1" t="s">
        <v>274</v>
      </c>
      <c r="G151" s="3" t="s">
        <v>600</v>
      </c>
      <c r="H151" s="1" t="s">
        <v>601</v>
      </c>
      <c r="I151" s="1" t="s">
        <v>50</v>
      </c>
      <c r="J151" s="1" t="s">
        <v>23</v>
      </c>
    </row>
    <row r="152" customFormat="false" ht="15.75" hidden="false" customHeight="false" outlineLevel="0" collapsed="false">
      <c r="A152" s="2" t="n">
        <v>43226.7704610764</v>
      </c>
      <c r="B152" s="1" t="s">
        <v>602</v>
      </c>
      <c r="C152" s="1" t="s">
        <v>237</v>
      </c>
      <c r="D152" s="1" t="n">
        <v>8</v>
      </c>
      <c r="E152" s="1" t="s">
        <v>603</v>
      </c>
      <c r="G152" s="3" t="s">
        <v>597</v>
      </c>
      <c r="H152" s="1" t="s">
        <v>598</v>
      </c>
      <c r="I152" s="1" t="s">
        <v>40</v>
      </c>
      <c r="J152" s="1" t="s">
        <v>45</v>
      </c>
    </row>
    <row r="153" customFormat="false" ht="15.75" hidden="false" customHeight="false" outlineLevel="0" collapsed="false">
      <c r="A153" s="2" t="n">
        <v>43226.7720581134</v>
      </c>
      <c r="B153" s="1" t="s">
        <v>604</v>
      </c>
      <c r="C153" s="1" t="s">
        <v>605</v>
      </c>
      <c r="D153" s="1" t="n">
        <v>9</v>
      </c>
      <c r="E153" s="1" t="s">
        <v>37</v>
      </c>
      <c r="G153" s="3" t="s">
        <v>606</v>
      </c>
      <c r="H153" s="1" t="s">
        <v>607</v>
      </c>
      <c r="I153" s="1" t="s">
        <v>70</v>
      </c>
      <c r="J153" s="1" t="s">
        <v>65</v>
      </c>
    </row>
    <row r="154" customFormat="false" ht="15.75" hidden="false" customHeight="false" outlineLevel="0" collapsed="false">
      <c r="A154" s="2" t="n">
        <v>43227.2559968403</v>
      </c>
      <c r="B154" s="1" t="s">
        <v>608</v>
      </c>
      <c r="C154" s="1" t="s">
        <v>350</v>
      </c>
      <c r="D154" s="1" t="n">
        <v>9</v>
      </c>
      <c r="E154" s="1" t="n">
        <v>64</v>
      </c>
      <c r="G154" s="3" t="s">
        <v>609</v>
      </c>
      <c r="H154" s="1" t="s">
        <v>610</v>
      </c>
      <c r="I154" s="1" t="s">
        <v>70</v>
      </c>
      <c r="J154" s="1" t="s">
        <v>65</v>
      </c>
    </row>
    <row r="155" customFormat="false" ht="15.75" hidden="false" customHeight="false" outlineLevel="0" collapsed="false">
      <c r="A155" s="2" t="n">
        <v>43227.2943154514</v>
      </c>
      <c r="B155" s="1" t="s">
        <v>611</v>
      </c>
      <c r="C155" s="1" t="s">
        <v>345</v>
      </c>
      <c r="D155" s="1" t="n">
        <v>8</v>
      </c>
      <c r="E155" s="1" t="s">
        <v>612</v>
      </c>
      <c r="G155" s="3" t="s">
        <v>613</v>
      </c>
      <c r="H155" s="1" t="s">
        <v>614</v>
      </c>
      <c r="I155" s="1" t="s">
        <v>40</v>
      </c>
      <c r="J155" s="1" t="s">
        <v>85</v>
      </c>
    </row>
    <row r="156" customFormat="false" ht="15.75" hidden="false" customHeight="false" outlineLevel="0" collapsed="false">
      <c r="A156" s="2" t="n">
        <v>43227.4966585764</v>
      </c>
      <c r="B156" s="1" t="s">
        <v>615</v>
      </c>
      <c r="C156" s="1" t="s">
        <v>537</v>
      </c>
      <c r="D156" s="1" t="n">
        <v>9</v>
      </c>
      <c r="E156" s="1" t="s">
        <v>616</v>
      </c>
      <c r="G156" s="3" t="s">
        <v>617</v>
      </c>
      <c r="H156" s="1" t="s">
        <v>618</v>
      </c>
      <c r="I156" s="1" t="s">
        <v>70</v>
      </c>
      <c r="J156" s="1" t="s">
        <v>85</v>
      </c>
    </row>
    <row r="157" customFormat="false" ht="15.75" hidden="false" customHeight="false" outlineLevel="0" collapsed="false">
      <c r="A157" s="2" t="n">
        <v>43227.5463791782</v>
      </c>
      <c r="B157" s="1" t="s">
        <v>619</v>
      </c>
      <c r="C157" s="1" t="s">
        <v>251</v>
      </c>
      <c r="D157" s="1" t="n">
        <v>10</v>
      </c>
      <c r="E157" s="1" t="s">
        <v>620</v>
      </c>
      <c r="G157" s="3" t="s">
        <v>621</v>
      </c>
      <c r="H157" s="1" t="s">
        <v>622</v>
      </c>
      <c r="I157" s="1" t="s">
        <v>40</v>
      </c>
      <c r="J157" s="1" t="s">
        <v>23</v>
      </c>
    </row>
    <row r="158" customFormat="false" ht="15.75" hidden="false" customHeight="false" outlineLevel="0" collapsed="false">
      <c r="A158" s="2" t="n">
        <v>43227.6171484259</v>
      </c>
      <c r="B158" s="1" t="s">
        <v>623</v>
      </c>
      <c r="C158" s="1" t="s">
        <v>31</v>
      </c>
      <c r="D158" s="1" t="n">
        <v>7</v>
      </c>
      <c r="E158" s="1" t="n">
        <v>146</v>
      </c>
      <c r="F158" s="1" t="s">
        <v>624</v>
      </c>
      <c r="G158" s="3" t="s">
        <v>625</v>
      </c>
      <c r="H158" s="1" t="s">
        <v>626</v>
      </c>
      <c r="I158" s="1" t="s">
        <v>148</v>
      </c>
      <c r="J158" s="1" t="s">
        <v>40</v>
      </c>
    </row>
    <row r="159" customFormat="false" ht="15.75" hidden="false" customHeight="false" outlineLevel="0" collapsed="false">
      <c r="A159" s="2" t="n">
        <v>43227.6227551736</v>
      </c>
      <c r="B159" s="1" t="s">
        <v>627</v>
      </c>
      <c r="C159" s="1" t="s">
        <v>628</v>
      </c>
      <c r="D159" s="1" t="n">
        <v>9</v>
      </c>
      <c r="E159" s="1" t="s">
        <v>37</v>
      </c>
      <c r="G159" s="3" t="s">
        <v>629</v>
      </c>
      <c r="H159" s="1" t="s">
        <v>630</v>
      </c>
      <c r="I159" s="1" t="s">
        <v>22</v>
      </c>
      <c r="J159" s="1" t="s">
        <v>65</v>
      </c>
    </row>
    <row r="160" customFormat="false" ht="15.75" hidden="false" customHeight="false" outlineLevel="0" collapsed="false">
      <c r="A160" s="2" t="n">
        <v>43227.6658950463</v>
      </c>
      <c r="B160" s="1" t="s">
        <v>608</v>
      </c>
      <c r="C160" s="1" t="s">
        <v>350</v>
      </c>
      <c r="D160" s="1" t="n">
        <v>9</v>
      </c>
      <c r="E160" s="1" t="n">
        <v>64</v>
      </c>
      <c r="G160" s="3" t="s">
        <v>609</v>
      </c>
      <c r="H160" s="1" t="s">
        <v>610</v>
      </c>
      <c r="I160" s="1" t="s">
        <v>70</v>
      </c>
      <c r="J160" s="1" t="s">
        <v>85</v>
      </c>
    </row>
    <row r="161" customFormat="false" ht="15.75" hidden="false" customHeight="false" outlineLevel="0" collapsed="false">
      <c r="A161" s="2" t="n">
        <v>43227.7043800695</v>
      </c>
      <c r="B161" s="1" t="s">
        <v>631</v>
      </c>
      <c r="C161" s="1" t="s">
        <v>124</v>
      </c>
      <c r="D161" s="1" t="n">
        <v>7</v>
      </c>
      <c r="E161" s="1" t="s">
        <v>632</v>
      </c>
      <c r="G161" s="3" t="s">
        <v>633</v>
      </c>
      <c r="H161" s="1" t="s">
        <v>634</v>
      </c>
      <c r="I161" s="1" t="s">
        <v>40</v>
      </c>
      <c r="J161" s="1" t="s">
        <v>85</v>
      </c>
    </row>
    <row r="162" customFormat="false" ht="15.75" hidden="false" customHeight="false" outlineLevel="0" collapsed="false">
      <c r="A162" s="2" t="n">
        <v>43227.7082518056</v>
      </c>
      <c r="B162" s="1" t="s">
        <v>635</v>
      </c>
      <c r="C162" s="1" t="s">
        <v>636</v>
      </c>
      <c r="D162" s="1" t="n">
        <v>10</v>
      </c>
      <c r="E162" s="1" t="s">
        <v>200</v>
      </c>
      <c r="G162" s="3" t="s">
        <v>637</v>
      </c>
      <c r="H162" s="1" t="s">
        <v>638</v>
      </c>
      <c r="I162" s="1" t="s">
        <v>50</v>
      </c>
      <c r="J162" s="1" t="s">
        <v>29</v>
      </c>
    </row>
    <row r="163" customFormat="false" ht="15.75" hidden="false" customHeight="false" outlineLevel="0" collapsed="false">
      <c r="A163" s="2" t="n">
        <v>43227.7822928357</v>
      </c>
      <c r="B163" s="1" t="s">
        <v>639</v>
      </c>
      <c r="C163" s="1" t="s">
        <v>403</v>
      </c>
      <c r="D163" s="1" t="n">
        <v>10</v>
      </c>
      <c r="E163" s="1" t="n">
        <v>117</v>
      </c>
      <c r="G163" s="3" t="s">
        <v>640</v>
      </c>
      <c r="H163" s="1" t="s">
        <v>641</v>
      </c>
      <c r="I163" s="1" t="s">
        <v>40</v>
      </c>
      <c r="J163" s="1" t="s">
        <v>85</v>
      </c>
    </row>
    <row r="164" customFormat="false" ht="15.75" hidden="false" customHeight="false" outlineLevel="0" collapsed="false">
      <c r="A164" s="2" t="n">
        <v>43227.8269139236</v>
      </c>
      <c r="B164" s="1" t="s">
        <v>499</v>
      </c>
      <c r="C164" s="1" t="s">
        <v>642</v>
      </c>
      <c r="D164" s="1" t="n">
        <v>9</v>
      </c>
      <c r="E164" s="1" t="s">
        <v>37</v>
      </c>
      <c r="F164" s="1" t="s">
        <v>643</v>
      </c>
      <c r="G164" s="3" t="s">
        <v>644</v>
      </c>
      <c r="H164" s="1" t="s">
        <v>503</v>
      </c>
      <c r="I164" s="1" t="s">
        <v>148</v>
      </c>
      <c r="J164" s="1" t="s">
        <v>15</v>
      </c>
    </row>
    <row r="165" customFormat="false" ht="15.75" hidden="false" customHeight="false" outlineLevel="0" collapsed="false">
      <c r="A165" s="2" t="n">
        <v>43227.8280896412</v>
      </c>
      <c r="B165" s="1" t="s">
        <v>499</v>
      </c>
      <c r="C165" s="1" t="s">
        <v>642</v>
      </c>
      <c r="D165" s="1" t="n">
        <v>9</v>
      </c>
      <c r="E165" s="1" t="s">
        <v>37</v>
      </c>
      <c r="F165" s="1" t="s">
        <v>645</v>
      </c>
      <c r="G165" s="3" t="s">
        <v>644</v>
      </c>
      <c r="H165" s="1" t="s">
        <v>503</v>
      </c>
      <c r="I165" s="1" t="s">
        <v>148</v>
      </c>
      <c r="J165" s="1" t="s">
        <v>15</v>
      </c>
    </row>
    <row r="166" customFormat="false" ht="15.75" hidden="false" customHeight="false" outlineLevel="0" collapsed="false">
      <c r="A166" s="2" t="n">
        <v>43227.8281731019</v>
      </c>
      <c r="B166" s="1" t="s">
        <v>499</v>
      </c>
      <c r="C166" s="1" t="s">
        <v>642</v>
      </c>
      <c r="D166" s="1" t="n">
        <v>9</v>
      </c>
      <c r="E166" s="1" t="s">
        <v>37</v>
      </c>
      <c r="F166" s="1" t="s">
        <v>645</v>
      </c>
      <c r="G166" s="3" t="s">
        <v>644</v>
      </c>
      <c r="H166" s="1" t="s">
        <v>503</v>
      </c>
      <c r="I166" s="1" t="s">
        <v>148</v>
      </c>
      <c r="J166" s="1" t="s">
        <v>15</v>
      </c>
    </row>
    <row r="167" customFormat="false" ht="15.75" hidden="false" customHeight="false" outlineLevel="0" collapsed="false">
      <c r="A167" s="2" t="n">
        <v>43227.8903909144</v>
      </c>
      <c r="B167" s="1" t="s">
        <v>646</v>
      </c>
      <c r="C167" s="1" t="s">
        <v>647</v>
      </c>
      <c r="D167" s="1" t="n">
        <v>8</v>
      </c>
      <c r="E167" s="1" t="s">
        <v>37</v>
      </c>
      <c r="G167" s="3" t="s">
        <v>648</v>
      </c>
      <c r="H167" s="1" t="s">
        <v>649</v>
      </c>
      <c r="I167" s="1" t="s">
        <v>51</v>
      </c>
      <c r="J167" s="1" t="s">
        <v>65</v>
      </c>
    </row>
    <row r="168" customFormat="false" ht="15.75" hidden="false" customHeight="false" outlineLevel="0" collapsed="false">
      <c r="A168" s="2" t="n">
        <v>43228.6803176505</v>
      </c>
      <c r="B168" s="1" t="s">
        <v>650</v>
      </c>
      <c r="C168" s="1" t="s">
        <v>651</v>
      </c>
      <c r="D168" s="1" t="n">
        <v>10</v>
      </c>
      <c r="E168" s="1" t="s">
        <v>652</v>
      </c>
      <c r="G168" s="3" t="s">
        <v>653</v>
      </c>
      <c r="H168" s="1" t="s">
        <v>654</v>
      </c>
      <c r="I168" s="1" t="s">
        <v>148</v>
      </c>
      <c r="J168" s="1" t="s">
        <v>65</v>
      </c>
    </row>
    <row r="169" customFormat="false" ht="15.75" hidden="false" customHeight="false" outlineLevel="0" collapsed="false">
      <c r="A169" s="2" t="n">
        <v>43228.5591053588</v>
      </c>
      <c r="B169" s="1" t="s">
        <v>611</v>
      </c>
      <c r="C169" s="1" t="s">
        <v>345</v>
      </c>
      <c r="D169" s="1" t="n">
        <v>8</v>
      </c>
      <c r="E169" s="1" t="s">
        <v>612</v>
      </c>
      <c r="F169" s="1" t="s">
        <v>655</v>
      </c>
      <c r="G169" s="3" t="s">
        <v>656</v>
      </c>
      <c r="H169" s="1" t="s">
        <v>614</v>
      </c>
      <c r="I169" s="1" t="s">
        <v>40</v>
      </c>
      <c r="J169" s="1" t="s">
        <v>65</v>
      </c>
    </row>
    <row r="170" customFormat="false" ht="15.75" hidden="false" customHeight="false" outlineLevel="0" collapsed="false">
      <c r="A170" s="2" t="n">
        <v>43228.5592593403</v>
      </c>
      <c r="B170" s="1" t="s">
        <v>611</v>
      </c>
      <c r="C170" s="1" t="s">
        <v>345</v>
      </c>
      <c r="D170" s="1" t="n">
        <v>8</v>
      </c>
      <c r="E170" s="1" t="s">
        <v>612</v>
      </c>
      <c r="F170" s="1" t="s">
        <v>655</v>
      </c>
      <c r="G170" s="3" t="s">
        <v>656</v>
      </c>
      <c r="H170" s="1" t="s">
        <v>614</v>
      </c>
      <c r="I170" s="1" t="s">
        <v>40</v>
      </c>
      <c r="J170" s="1" t="s">
        <v>65</v>
      </c>
    </row>
    <row r="171" customFormat="false" ht="15.75" hidden="false" customHeight="false" outlineLevel="0" collapsed="false">
      <c r="A171" s="2" t="n">
        <v>43228.7277380671</v>
      </c>
      <c r="B171" s="1" t="s">
        <v>657</v>
      </c>
      <c r="C171" s="1" t="s">
        <v>658</v>
      </c>
      <c r="D171" s="1" t="n">
        <v>9</v>
      </c>
      <c r="E171" s="1" t="s">
        <v>616</v>
      </c>
      <c r="G171" s="3" t="s">
        <v>659</v>
      </c>
      <c r="H171" s="1" t="s">
        <v>660</v>
      </c>
      <c r="I171" s="1" t="s">
        <v>15</v>
      </c>
      <c r="J171" s="1" t="s">
        <v>22</v>
      </c>
    </row>
    <row r="172" customFormat="false" ht="15.75" hidden="false" customHeight="false" outlineLevel="0" collapsed="false">
      <c r="A172" s="2" t="n">
        <v>43228.8336673148</v>
      </c>
      <c r="B172" s="1" t="s">
        <v>661</v>
      </c>
      <c r="C172" s="1" t="s">
        <v>61</v>
      </c>
      <c r="D172" s="1" t="n">
        <v>8</v>
      </c>
      <c r="E172" s="1" t="s">
        <v>662</v>
      </c>
      <c r="F172" s="1" t="s">
        <v>663</v>
      </c>
      <c r="G172" s="3" t="s">
        <v>664</v>
      </c>
      <c r="H172" s="1" t="s">
        <v>665</v>
      </c>
      <c r="I172" s="1" t="s">
        <v>40</v>
      </c>
      <c r="J172" s="1" t="s">
        <v>29</v>
      </c>
    </row>
    <row r="173" customFormat="false" ht="15.75" hidden="false" customHeight="false" outlineLevel="0" collapsed="false">
      <c r="A173" s="2" t="n">
        <v>43229.3430317593</v>
      </c>
      <c r="B173" s="1" t="s">
        <v>666</v>
      </c>
      <c r="C173" s="1" t="s">
        <v>474</v>
      </c>
      <c r="D173" s="1" t="n">
        <v>7</v>
      </c>
      <c r="E173" s="1" t="s">
        <v>667</v>
      </c>
      <c r="F173" s="1" t="s">
        <v>668</v>
      </c>
      <c r="G173" s="3" t="s">
        <v>669</v>
      </c>
      <c r="H173" s="1" t="s">
        <v>670</v>
      </c>
      <c r="I173" s="1" t="s">
        <v>51</v>
      </c>
      <c r="J173" s="1" t="s">
        <v>65</v>
      </c>
    </row>
    <row r="174" customFormat="false" ht="15.75" hidden="false" customHeight="false" outlineLevel="0" collapsed="false">
      <c r="A174" s="2" t="n">
        <v>43229.5072433333</v>
      </c>
      <c r="B174" s="1" t="s">
        <v>671</v>
      </c>
      <c r="C174" s="1" t="s">
        <v>672</v>
      </c>
      <c r="D174" s="1" t="n">
        <v>11</v>
      </c>
      <c r="E174" s="1" t="s">
        <v>103</v>
      </c>
      <c r="G174" s="3" t="s">
        <v>673</v>
      </c>
      <c r="H174" s="1" t="s">
        <v>674</v>
      </c>
      <c r="I174" s="1" t="s">
        <v>180</v>
      </c>
      <c r="J174" s="1" t="s">
        <v>51</v>
      </c>
    </row>
    <row r="175" customFormat="false" ht="15.75" hidden="false" customHeight="false" outlineLevel="0" collapsed="false">
      <c r="A175" s="2" t="n">
        <v>43239.5072453704</v>
      </c>
      <c r="B175" s="1" t="s">
        <v>675</v>
      </c>
      <c r="C175" s="1" t="s">
        <v>676</v>
      </c>
      <c r="D175" s="1" t="n">
        <v>8</v>
      </c>
      <c r="E175" s="1" t="s">
        <v>37</v>
      </c>
      <c r="G175" s="3" t="s">
        <v>677</v>
      </c>
      <c r="I175" s="1" t="s">
        <v>50</v>
      </c>
      <c r="J175" s="1" t="s">
        <v>23</v>
      </c>
    </row>
    <row r="176" customFormat="false" ht="15.75" hidden="false" customHeight="false" outlineLevel="0" collapsed="false">
      <c r="E176" s="1"/>
    </row>
    <row r="177" customFormat="false" ht="15.75" hidden="false" customHeight="false" outlineLevel="0" collapsed="false">
      <c r="E177" s="1"/>
    </row>
    <row r="178" customFormat="false" ht="15.75" hidden="false" customHeight="false" outlineLevel="0" collapsed="false">
      <c r="E178" s="1"/>
    </row>
    <row r="179" customFormat="false" ht="15.75" hidden="false" customHeight="false" outlineLevel="0" collapsed="false">
      <c r="E179" s="1"/>
    </row>
    <row r="180" customFormat="false" ht="15.75" hidden="false" customHeight="false" outlineLevel="0" collapsed="false">
      <c r="E180" s="1"/>
    </row>
    <row r="181" customFormat="false" ht="15.75" hidden="false" customHeight="false" outlineLevel="0" collapsed="false">
      <c r="E181" s="1"/>
    </row>
    <row r="182" customFormat="false" ht="15.75" hidden="false" customHeight="false" outlineLevel="0" collapsed="false">
      <c r="E182" s="1"/>
    </row>
    <row r="183" customFormat="false" ht="15.75" hidden="false" customHeight="false" outlineLevel="0" collapsed="false">
      <c r="E183" s="1"/>
    </row>
    <row r="184" customFormat="false" ht="15.75" hidden="false" customHeight="false" outlineLevel="0" collapsed="false">
      <c r="E184" s="1"/>
    </row>
    <row r="185" customFormat="false" ht="15.75" hidden="false" customHeight="false" outlineLevel="0" collapsed="false">
      <c r="E185" s="1"/>
    </row>
    <row r="186" customFormat="false" ht="15.75" hidden="false" customHeight="false" outlineLevel="0" collapsed="false">
      <c r="E186" s="1"/>
    </row>
    <row r="187" customFormat="false" ht="15.75" hidden="false" customHeight="false" outlineLevel="0" collapsed="false">
      <c r="E187" s="1"/>
    </row>
    <row r="188" customFormat="false" ht="15.75" hidden="false" customHeight="false" outlineLevel="0" collapsed="false">
      <c r="E188" s="1"/>
    </row>
    <row r="189" customFormat="false" ht="15.75" hidden="false" customHeight="false" outlineLevel="0" collapsed="false">
      <c r="E189" s="1"/>
    </row>
    <row r="190" customFormat="false" ht="15.75" hidden="false" customHeight="false" outlineLevel="0" collapsed="false">
      <c r="E190" s="1"/>
    </row>
    <row r="191" customFormat="false" ht="15.75" hidden="false" customHeight="false" outlineLevel="0" collapsed="false">
      <c r="E191" s="1"/>
    </row>
    <row r="192" customFormat="false" ht="15.75" hidden="false" customHeight="false" outlineLevel="0" collapsed="false">
      <c r="E192" s="1"/>
    </row>
    <row r="193" customFormat="false" ht="15.75" hidden="false" customHeight="false" outlineLevel="0" collapsed="false">
      <c r="E193" s="1"/>
    </row>
    <row r="194" customFormat="false" ht="15.75" hidden="false" customHeight="false" outlineLevel="0" collapsed="false">
      <c r="E194" s="1"/>
    </row>
    <row r="195" customFormat="false" ht="15.75" hidden="false" customHeight="false" outlineLevel="0" collapsed="false">
      <c r="E195" s="1"/>
    </row>
    <row r="196" customFormat="false" ht="15.75" hidden="false" customHeight="false" outlineLevel="0" collapsed="false">
      <c r="E196" s="1"/>
    </row>
    <row r="197" customFormat="false" ht="15.75" hidden="false" customHeight="false" outlineLevel="0" collapsed="false">
      <c r="E197" s="1"/>
    </row>
    <row r="198" customFormat="false" ht="15.75" hidden="false" customHeight="false" outlineLevel="0" collapsed="false">
      <c r="E198" s="1"/>
    </row>
    <row r="199" customFormat="false" ht="15.75" hidden="false" customHeight="false" outlineLevel="0" collapsed="false">
      <c r="E199" s="1"/>
    </row>
    <row r="200" customFormat="false" ht="15.75" hidden="false" customHeight="false" outlineLevel="0" collapsed="false">
      <c r="E200" s="1"/>
    </row>
    <row r="201" customFormat="false" ht="15.75" hidden="false" customHeight="false" outlineLevel="0" collapsed="false">
      <c r="E201" s="1"/>
    </row>
    <row r="202" customFormat="false" ht="15.75" hidden="false" customHeight="false" outlineLevel="0" collapsed="false">
      <c r="E202" s="1"/>
    </row>
    <row r="203" customFormat="false" ht="15.75" hidden="false" customHeight="false" outlineLevel="0" collapsed="false">
      <c r="E203" s="1"/>
    </row>
    <row r="204" customFormat="false" ht="15.75" hidden="false" customHeight="false" outlineLevel="0" collapsed="false">
      <c r="E204" s="1"/>
    </row>
    <row r="205" customFormat="false" ht="15.75" hidden="false" customHeight="false" outlineLevel="0" collapsed="false">
      <c r="E205" s="1"/>
    </row>
    <row r="206" customFormat="false" ht="15.75" hidden="false" customHeight="false" outlineLevel="0" collapsed="false">
      <c r="E206" s="1"/>
    </row>
    <row r="207" customFormat="false" ht="15.75" hidden="false" customHeight="false" outlineLevel="0" collapsed="false">
      <c r="E207" s="1"/>
    </row>
    <row r="208" customFormat="false" ht="15.75" hidden="false" customHeight="false" outlineLevel="0" collapsed="false">
      <c r="E208" s="1"/>
    </row>
    <row r="209" customFormat="false" ht="15.75" hidden="false" customHeight="false" outlineLevel="0" collapsed="false">
      <c r="E209" s="1"/>
    </row>
    <row r="210" customFormat="false" ht="15.75" hidden="false" customHeight="false" outlineLevel="0" collapsed="false">
      <c r="E210" s="1"/>
    </row>
    <row r="211" customFormat="false" ht="15.75" hidden="false" customHeight="false" outlineLevel="0" collapsed="false">
      <c r="E211" s="1"/>
    </row>
    <row r="212" customFormat="false" ht="15.75" hidden="false" customHeight="false" outlineLevel="0" collapsed="false">
      <c r="E212" s="1"/>
    </row>
    <row r="213" customFormat="false" ht="15.75" hidden="false" customHeight="false" outlineLevel="0" collapsed="false">
      <c r="E213" s="1"/>
    </row>
    <row r="214" customFormat="false" ht="15.75" hidden="false" customHeight="false" outlineLevel="0" collapsed="false">
      <c r="E214" s="1"/>
    </row>
    <row r="215" customFormat="false" ht="15.75" hidden="false" customHeight="false" outlineLevel="0" collapsed="false">
      <c r="E215" s="1"/>
    </row>
    <row r="216" customFormat="false" ht="15.75" hidden="false" customHeight="false" outlineLevel="0" collapsed="false">
      <c r="E216" s="1"/>
    </row>
    <row r="217" customFormat="false" ht="15.75" hidden="false" customHeight="false" outlineLevel="0" collapsed="false">
      <c r="E217" s="1"/>
    </row>
    <row r="218" customFormat="false" ht="15.75" hidden="false" customHeight="false" outlineLevel="0" collapsed="false">
      <c r="E218" s="1"/>
    </row>
    <row r="219" customFormat="false" ht="15.75" hidden="false" customHeight="false" outlineLevel="0" collapsed="false">
      <c r="E219" s="1"/>
    </row>
    <row r="220" customFormat="false" ht="15.75" hidden="false" customHeight="false" outlineLevel="0" collapsed="false">
      <c r="E220" s="1"/>
    </row>
    <row r="221" customFormat="false" ht="15.75" hidden="false" customHeight="false" outlineLevel="0" collapsed="false">
      <c r="E221" s="1"/>
    </row>
    <row r="222" customFormat="false" ht="15.75" hidden="false" customHeight="false" outlineLevel="0" collapsed="false">
      <c r="E222" s="1"/>
    </row>
    <row r="223" customFormat="false" ht="15.75" hidden="false" customHeight="false" outlineLevel="0" collapsed="false">
      <c r="E223" s="1"/>
    </row>
    <row r="224" customFormat="false" ht="15.75" hidden="false" customHeight="false" outlineLevel="0" collapsed="false">
      <c r="E224" s="1"/>
    </row>
    <row r="225" customFormat="false" ht="15.75" hidden="false" customHeight="false" outlineLevel="0" collapsed="false">
      <c r="E225" s="1"/>
    </row>
    <row r="226" customFormat="false" ht="15.75" hidden="false" customHeight="false" outlineLevel="0" collapsed="false">
      <c r="E226" s="1"/>
    </row>
    <row r="227" customFormat="false" ht="15.75" hidden="false" customHeight="false" outlineLevel="0" collapsed="false">
      <c r="E227" s="1"/>
    </row>
    <row r="228" customFormat="false" ht="15.75" hidden="false" customHeight="false" outlineLevel="0" collapsed="false">
      <c r="E228" s="1"/>
    </row>
    <row r="229" customFormat="false" ht="15.75" hidden="false" customHeight="false" outlineLevel="0" collapsed="false">
      <c r="E229" s="1"/>
    </row>
    <row r="230" customFormat="false" ht="15.75" hidden="false" customHeight="false" outlineLevel="0" collapsed="false">
      <c r="E230" s="1"/>
    </row>
    <row r="231" customFormat="false" ht="15.75" hidden="false" customHeight="false" outlineLevel="0" collapsed="false">
      <c r="E231" s="1"/>
    </row>
    <row r="232" customFormat="false" ht="15.75" hidden="false" customHeight="false" outlineLevel="0" collapsed="false">
      <c r="E232" s="1"/>
    </row>
    <row r="233" customFormat="false" ht="15.75" hidden="false" customHeight="false" outlineLevel="0" collapsed="false">
      <c r="E233" s="1"/>
    </row>
    <row r="234" customFormat="false" ht="15.75" hidden="false" customHeight="false" outlineLevel="0" collapsed="false">
      <c r="E234" s="1"/>
    </row>
    <row r="235" customFormat="false" ht="15.75" hidden="false" customHeight="false" outlineLevel="0" collapsed="false">
      <c r="E235" s="1"/>
    </row>
    <row r="236" customFormat="false" ht="15.75" hidden="false" customHeight="false" outlineLevel="0" collapsed="false">
      <c r="E236" s="1"/>
    </row>
    <row r="237" customFormat="false" ht="15.75" hidden="false" customHeight="false" outlineLevel="0" collapsed="false">
      <c r="E237" s="1"/>
    </row>
    <row r="238" customFormat="false" ht="15.75" hidden="false" customHeight="false" outlineLevel="0" collapsed="false">
      <c r="E238" s="1"/>
    </row>
    <row r="239" customFormat="false" ht="15.75" hidden="false" customHeight="false" outlineLevel="0" collapsed="false">
      <c r="E239" s="1"/>
    </row>
    <row r="240" customFormat="false" ht="15.75" hidden="false" customHeight="false" outlineLevel="0" collapsed="false">
      <c r="E240" s="1"/>
    </row>
    <row r="241" customFormat="false" ht="15.75" hidden="false" customHeight="false" outlineLevel="0" collapsed="false">
      <c r="E241" s="1"/>
    </row>
    <row r="242" customFormat="false" ht="15.75" hidden="false" customHeight="false" outlineLevel="0" collapsed="false">
      <c r="E242" s="1"/>
    </row>
    <row r="243" customFormat="false" ht="15.75" hidden="false" customHeight="false" outlineLevel="0" collapsed="false">
      <c r="E243" s="1"/>
    </row>
    <row r="244" customFormat="false" ht="15.75" hidden="false" customHeight="false" outlineLevel="0" collapsed="false">
      <c r="E244" s="1"/>
    </row>
    <row r="245" customFormat="false" ht="15.75" hidden="false" customHeight="false" outlineLevel="0" collapsed="false">
      <c r="E245" s="1"/>
    </row>
    <row r="246" customFormat="false" ht="15.75" hidden="false" customHeight="false" outlineLevel="0" collapsed="false">
      <c r="E246" s="1"/>
    </row>
    <row r="247" customFormat="false" ht="15.75" hidden="false" customHeight="false" outlineLevel="0" collapsed="false">
      <c r="E247" s="1"/>
    </row>
    <row r="248" customFormat="false" ht="15.75" hidden="false" customHeight="false" outlineLevel="0" collapsed="false">
      <c r="E248" s="1"/>
    </row>
    <row r="249" customFormat="false" ht="15.75" hidden="false" customHeight="false" outlineLevel="0" collapsed="false">
      <c r="E249" s="1"/>
    </row>
    <row r="250" customFormat="false" ht="15.75" hidden="false" customHeight="false" outlineLevel="0" collapsed="false">
      <c r="E250" s="1"/>
    </row>
    <row r="251" customFormat="false" ht="15.75" hidden="false" customHeight="false" outlineLevel="0" collapsed="false">
      <c r="E251" s="1"/>
    </row>
    <row r="252" customFormat="false" ht="15.75" hidden="false" customHeight="false" outlineLevel="0" collapsed="false">
      <c r="E252" s="1"/>
    </row>
    <row r="253" customFormat="false" ht="15.75" hidden="false" customHeight="false" outlineLevel="0" collapsed="false">
      <c r="E253" s="1"/>
    </row>
    <row r="254" customFormat="false" ht="15.75" hidden="false" customHeight="false" outlineLevel="0" collapsed="false">
      <c r="E254" s="1"/>
    </row>
    <row r="255" customFormat="false" ht="15.75" hidden="false" customHeight="false" outlineLevel="0" collapsed="false">
      <c r="E255" s="1"/>
    </row>
    <row r="256" customFormat="false" ht="15.75" hidden="false" customHeight="false" outlineLevel="0" collapsed="false">
      <c r="E256" s="1"/>
    </row>
    <row r="257" customFormat="false" ht="15.75" hidden="false" customHeight="false" outlineLevel="0" collapsed="false">
      <c r="E257" s="1"/>
    </row>
    <row r="258" customFormat="false" ht="15.75" hidden="false" customHeight="false" outlineLevel="0" collapsed="false">
      <c r="E258" s="1"/>
    </row>
    <row r="259" customFormat="false" ht="15.75" hidden="false" customHeight="false" outlineLevel="0" collapsed="false">
      <c r="E259" s="1"/>
    </row>
    <row r="260" customFormat="false" ht="15.75" hidden="false" customHeight="false" outlineLevel="0" collapsed="false">
      <c r="E260" s="1"/>
    </row>
    <row r="261" customFormat="false" ht="15.75" hidden="false" customHeight="false" outlineLevel="0" collapsed="false">
      <c r="E261" s="1"/>
    </row>
    <row r="262" customFormat="false" ht="15.75" hidden="false" customHeight="false" outlineLevel="0" collapsed="false">
      <c r="E262" s="1"/>
    </row>
    <row r="263" customFormat="false" ht="15.75" hidden="false" customHeight="false" outlineLevel="0" collapsed="false">
      <c r="E263" s="1"/>
    </row>
    <row r="264" customFormat="false" ht="15.75" hidden="false" customHeight="false" outlineLevel="0" collapsed="false">
      <c r="E264" s="1"/>
    </row>
    <row r="265" customFormat="false" ht="15.75" hidden="false" customHeight="false" outlineLevel="0" collapsed="false">
      <c r="E265" s="1"/>
    </row>
    <row r="266" customFormat="false" ht="15.75" hidden="false" customHeight="false" outlineLevel="0" collapsed="false">
      <c r="E266" s="1"/>
    </row>
    <row r="267" customFormat="false" ht="15.75" hidden="false" customHeight="false" outlineLevel="0" collapsed="false">
      <c r="E267" s="1"/>
    </row>
    <row r="268" customFormat="false" ht="15.75" hidden="false" customHeight="false" outlineLevel="0" collapsed="false">
      <c r="E268" s="1"/>
    </row>
    <row r="269" customFormat="false" ht="15.75" hidden="false" customHeight="false" outlineLevel="0" collapsed="false">
      <c r="E269" s="1"/>
    </row>
    <row r="270" customFormat="false" ht="15.75" hidden="false" customHeight="false" outlineLevel="0" collapsed="false">
      <c r="E270" s="1"/>
    </row>
    <row r="271" customFormat="false" ht="15.75" hidden="false" customHeight="false" outlineLevel="0" collapsed="false">
      <c r="E271" s="1"/>
    </row>
    <row r="272" customFormat="false" ht="15.75" hidden="false" customHeight="false" outlineLevel="0" collapsed="false">
      <c r="E272" s="1"/>
    </row>
    <row r="273" customFormat="false" ht="15.75" hidden="false" customHeight="false" outlineLevel="0" collapsed="false">
      <c r="E273" s="1"/>
    </row>
    <row r="274" customFormat="false" ht="15.75" hidden="false" customHeight="false" outlineLevel="0" collapsed="false">
      <c r="E274" s="1"/>
    </row>
    <row r="275" customFormat="false" ht="15.75" hidden="false" customHeight="false" outlineLevel="0" collapsed="false">
      <c r="E275" s="1"/>
    </row>
    <row r="276" customFormat="false" ht="15.75" hidden="false" customHeight="false" outlineLevel="0" collapsed="false">
      <c r="E276" s="1"/>
    </row>
    <row r="277" customFormat="false" ht="15.75" hidden="false" customHeight="false" outlineLevel="0" collapsed="false">
      <c r="E277" s="1"/>
    </row>
    <row r="278" customFormat="false" ht="15.75" hidden="false" customHeight="false" outlineLevel="0" collapsed="false">
      <c r="E278" s="1"/>
    </row>
    <row r="279" customFormat="false" ht="15.75" hidden="false" customHeight="false" outlineLevel="0" collapsed="false">
      <c r="E279" s="1"/>
    </row>
    <row r="280" customFormat="false" ht="15.75" hidden="false" customHeight="false" outlineLevel="0" collapsed="false">
      <c r="E280" s="1"/>
    </row>
    <row r="281" customFormat="false" ht="15.75" hidden="false" customHeight="false" outlineLevel="0" collapsed="false">
      <c r="E281" s="1"/>
    </row>
    <row r="282" customFormat="false" ht="15.75" hidden="false" customHeight="false" outlineLevel="0" collapsed="false">
      <c r="E282" s="1"/>
    </row>
    <row r="283" customFormat="false" ht="15.75" hidden="false" customHeight="false" outlineLevel="0" collapsed="false">
      <c r="E283" s="1"/>
    </row>
    <row r="284" customFormat="false" ht="15.75" hidden="false" customHeight="false" outlineLevel="0" collapsed="false">
      <c r="E284" s="1"/>
    </row>
    <row r="285" customFormat="false" ht="15.75" hidden="false" customHeight="false" outlineLevel="0" collapsed="false">
      <c r="E285" s="1"/>
    </row>
    <row r="286" customFormat="false" ht="15.75" hidden="false" customHeight="false" outlineLevel="0" collapsed="false">
      <c r="E286" s="1"/>
    </row>
    <row r="287" customFormat="false" ht="15.75" hidden="false" customHeight="false" outlineLevel="0" collapsed="false">
      <c r="E287" s="1"/>
    </row>
    <row r="288" customFormat="false" ht="15.75" hidden="false" customHeight="false" outlineLevel="0" collapsed="false">
      <c r="E288" s="1"/>
    </row>
    <row r="289" customFormat="false" ht="15.75" hidden="false" customHeight="false" outlineLevel="0" collapsed="false">
      <c r="E289" s="1"/>
    </row>
    <row r="290" customFormat="false" ht="15.75" hidden="false" customHeight="false" outlineLevel="0" collapsed="false">
      <c r="E290" s="1"/>
    </row>
    <row r="291" customFormat="false" ht="15.75" hidden="false" customHeight="false" outlineLevel="0" collapsed="false">
      <c r="E291" s="1"/>
    </row>
    <row r="292" customFormat="false" ht="15.75" hidden="false" customHeight="false" outlineLevel="0" collapsed="false">
      <c r="E292" s="1"/>
    </row>
    <row r="293" customFormat="false" ht="15.75" hidden="false" customHeight="false" outlineLevel="0" collapsed="false">
      <c r="E293" s="1"/>
    </row>
    <row r="294" customFormat="false" ht="15.75" hidden="false" customHeight="false" outlineLevel="0" collapsed="false">
      <c r="E294" s="1"/>
    </row>
    <row r="295" customFormat="false" ht="15.75" hidden="false" customHeight="false" outlineLevel="0" collapsed="false">
      <c r="E295" s="1"/>
    </row>
    <row r="296" customFormat="false" ht="15.75" hidden="false" customHeight="false" outlineLevel="0" collapsed="false">
      <c r="E296" s="1"/>
    </row>
    <row r="297" customFormat="false" ht="15.75" hidden="false" customHeight="false" outlineLevel="0" collapsed="false">
      <c r="E297" s="1"/>
    </row>
    <row r="298" customFormat="false" ht="15.75" hidden="false" customHeight="false" outlineLevel="0" collapsed="false">
      <c r="E298" s="1"/>
    </row>
    <row r="299" customFormat="false" ht="15.75" hidden="false" customHeight="false" outlineLevel="0" collapsed="false">
      <c r="E299" s="1"/>
    </row>
    <row r="300" customFormat="false" ht="15.75" hidden="false" customHeight="false" outlineLevel="0" collapsed="false">
      <c r="E300" s="1"/>
    </row>
    <row r="301" customFormat="false" ht="15.75" hidden="false" customHeight="false" outlineLevel="0" collapsed="false">
      <c r="E301" s="1"/>
    </row>
    <row r="302" customFormat="false" ht="15.75" hidden="false" customHeight="false" outlineLevel="0" collapsed="false">
      <c r="E302" s="1"/>
    </row>
    <row r="303" customFormat="false" ht="15.75" hidden="false" customHeight="false" outlineLevel="0" collapsed="false">
      <c r="E303" s="1"/>
    </row>
    <row r="304" customFormat="false" ht="15.75" hidden="false" customHeight="false" outlineLevel="0" collapsed="false">
      <c r="E304" s="1"/>
    </row>
    <row r="305" customFormat="false" ht="15.75" hidden="false" customHeight="false" outlineLevel="0" collapsed="false">
      <c r="E305" s="1"/>
    </row>
    <row r="306" customFormat="false" ht="15.75" hidden="false" customHeight="false" outlineLevel="0" collapsed="false">
      <c r="E306" s="1"/>
    </row>
    <row r="307" customFormat="false" ht="15.75" hidden="false" customHeight="false" outlineLevel="0" collapsed="false">
      <c r="E307" s="1"/>
    </row>
    <row r="308" customFormat="false" ht="15.75" hidden="false" customHeight="false" outlineLevel="0" collapsed="false">
      <c r="E308" s="1"/>
    </row>
    <row r="309" customFormat="false" ht="15.75" hidden="false" customHeight="false" outlineLevel="0" collapsed="false">
      <c r="E309" s="1"/>
    </row>
    <row r="310" customFormat="false" ht="15.75" hidden="false" customHeight="false" outlineLevel="0" collapsed="false">
      <c r="E310" s="1"/>
    </row>
    <row r="311" customFormat="false" ht="15.75" hidden="false" customHeight="false" outlineLevel="0" collapsed="false">
      <c r="E311" s="1"/>
    </row>
    <row r="312" customFormat="false" ht="15.75" hidden="false" customHeight="false" outlineLevel="0" collapsed="false">
      <c r="E312" s="1"/>
    </row>
    <row r="313" customFormat="false" ht="15.75" hidden="false" customHeight="false" outlineLevel="0" collapsed="false">
      <c r="E313" s="1"/>
    </row>
    <row r="314" customFormat="false" ht="15.75" hidden="false" customHeight="false" outlineLevel="0" collapsed="false">
      <c r="E314" s="1"/>
    </row>
    <row r="315" customFormat="false" ht="15.75" hidden="false" customHeight="false" outlineLevel="0" collapsed="false">
      <c r="E315" s="1"/>
    </row>
    <row r="316" customFormat="false" ht="15.75" hidden="false" customHeight="false" outlineLevel="0" collapsed="false">
      <c r="E316" s="1"/>
    </row>
    <row r="317" customFormat="false" ht="15.75" hidden="false" customHeight="false" outlineLevel="0" collapsed="false">
      <c r="E317" s="1"/>
    </row>
    <row r="318" customFormat="false" ht="15.75" hidden="false" customHeight="false" outlineLevel="0" collapsed="false">
      <c r="E318" s="1"/>
    </row>
    <row r="319" customFormat="false" ht="15.75" hidden="false" customHeight="false" outlineLevel="0" collapsed="false">
      <c r="E319" s="1"/>
    </row>
    <row r="320" customFormat="false" ht="15.75" hidden="false" customHeight="false" outlineLevel="0" collapsed="false">
      <c r="E320" s="1"/>
    </row>
    <row r="321" customFormat="false" ht="15.75" hidden="false" customHeight="false" outlineLevel="0" collapsed="false">
      <c r="E321" s="1"/>
    </row>
    <row r="322" customFormat="false" ht="15.75" hidden="false" customHeight="false" outlineLevel="0" collapsed="false">
      <c r="E322" s="1"/>
    </row>
    <row r="323" customFormat="false" ht="15.75" hidden="false" customHeight="false" outlineLevel="0" collapsed="false">
      <c r="E323" s="1"/>
    </row>
    <row r="324" customFormat="false" ht="15.75" hidden="false" customHeight="false" outlineLevel="0" collapsed="false">
      <c r="E324" s="1"/>
    </row>
    <row r="325" customFormat="false" ht="15.75" hidden="false" customHeight="false" outlineLevel="0" collapsed="false">
      <c r="E325" s="1"/>
    </row>
    <row r="326" customFormat="false" ht="15.75" hidden="false" customHeight="false" outlineLevel="0" collapsed="false">
      <c r="E326" s="1"/>
    </row>
    <row r="327" customFormat="false" ht="15.75" hidden="false" customHeight="false" outlineLevel="0" collapsed="false">
      <c r="E327" s="1"/>
    </row>
    <row r="328" customFormat="false" ht="15.75" hidden="false" customHeight="false" outlineLevel="0" collapsed="false">
      <c r="E328" s="1"/>
    </row>
    <row r="329" customFormat="false" ht="15.75" hidden="false" customHeight="false" outlineLevel="0" collapsed="false">
      <c r="E329" s="1"/>
    </row>
    <row r="330" customFormat="false" ht="15.75" hidden="false" customHeight="false" outlineLevel="0" collapsed="false">
      <c r="E330" s="1"/>
    </row>
    <row r="331" customFormat="false" ht="15.75" hidden="false" customHeight="false" outlineLevel="0" collapsed="false">
      <c r="E331" s="1"/>
    </row>
    <row r="332" customFormat="false" ht="15.75" hidden="false" customHeight="false" outlineLevel="0" collapsed="false">
      <c r="E332" s="1"/>
    </row>
    <row r="333" customFormat="false" ht="15.75" hidden="false" customHeight="false" outlineLevel="0" collapsed="false">
      <c r="E333" s="1"/>
    </row>
    <row r="334" customFormat="false" ht="15.75" hidden="false" customHeight="false" outlineLevel="0" collapsed="false">
      <c r="E334" s="1"/>
    </row>
    <row r="335" customFormat="false" ht="15.75" hidden="false" customHeight="false" outlineLevel="0" collapsed="false">
      <c r="E335" s="1"/>
    </row>
    <row r="336" customFormat="false" ht="15.75" hidden="false" customHeight="false" outlineLevel="0" collapsed="false">
      <c r="E336" s="1"/>
    </row>
    <row r="337" customFormat="false" ht="15.75" hidden="false" customHeight="false" outlineLevel="0" collapsed="false">
      <c r="E337" s="1"/>
    </row>
    <row r="338" customFormat="false" ht="15.75" hidden="false" customHeight="false" outlineLevel="0" collapsed="false">
      <c r="E338" s="1"/>
    </row>
    <row r="339" customFormat="false" ht="15.75" hidden="false" customHeight="false" outlineLevel="0" collapsed="false">
      <c r="E339" s="1"/>
    </row>
    <row r="340" customFormat="false" ht="15.75" hidden="false" customHeight="false" outlineLevel="0" collapsed="false">
      <c r="E340" s="1"/>
    </row>
    <row r="341" customFormat="false" ht="15.75" hidden="false" customHeight="false" outlineLevel="0" collapsed="false">
      <c r="E341" s="1"/>
    </row>
    <row r="342" customFormat="false" ht="15.75" hidden="false" customHeight="false" outlineLevel="0" collapsed="false">
      <c r="E342" s="1"/>
    </row>
    <row r="343" customFormat="false" ht="15.75" hidden="false" customHeight="false" outlineLevel="0" collapsed="false">
      <c r="E343" s="1"/>
    </row>
    <row r="344" customFormat="false" ht="15.75" hidden="false" customHeight="false" outlineLevel="0" collapsed="false">
      <c r="E344" s="1"/>
    </row>
    <row r="345" customFormat="false" ht="15.75" hidden="false" customHeight="false" outlineLevel="0" collapsed="false">
      <c r="E345" s="1"/>
    </row>
    <row r="346" customFormat="false" ht="15.75" hidden="false" customHeight="false" outlineLevel="0" collapsed="false">
      <c r="E346" s="1"/>
    </row>
    <row r="347" customFormat="false" ht="15.75" hidden="false" customHeight="false" outlineLevel="0" collapsed="false">
      <c r="E347" s="1"/>
    </row>
    <row r="348" customFormat="false" ht="15.75" hidden="false" customHeight="false" outlineLevel="0" collapsed="false">
      <c r="E348" s="1"/>
    </row>
    <row r="349" customFormat="false" ht="15.75" hidden="false" customHeight="false" outlineLevel="0" collapsed="false">
      <c r="E349" s="1"/>
    </row>
    <row r="350" customFormat="false" ht="15.75" hidden="false" customHeight="false" outlineLevel="0" collapsed="false">
      <c r="E350" s="1"/>
    </row>
    <row r="351" customFormat="false" ht="15.75" hidden="false" customHeight="false" outlineLevel="0" collapsed="false">
      <c r="E351" s="1"/>
    </row>
    <row r="352" customFormat="false" ht="15.75" hidden="false" customHeight="false" outlineLevel="0" collapsed="false">
      <c r="E352" s="1"/>
    </row>
    <row r="353" customFormat="false" ht="15.75" hidden="false" customHeight="false" outlineLevel="0" collapsed="false">
      <c r="E353" s="1"/>
    </row>
    <row r="354" customFormat="false" ht="15.75" hidden="false" customHeight="false" outlineLevel="0" collapsed="false">
      <c r="E354" s="1"/>
    </row>
    <row r="355" customFormat="false" ht="15.75" hidden="false" customHeight="false" outlineLevel="0" collapsed="false">
      <c r="E355" s="1"/>
    </row>
    <row r="356" customFormat="false" ht="15.75" hidden="false" customHeight="false" outlineLevel="0" collapsed="false">
      <c r="E356" s="1"/>
    </row>
    <row r="357" customFormat="false" ht="15.75" hidden="false" customHeight="false" outlineLevel="0" collapsed="false">
      <c r="E357" s="1"/>
    </row>
    <row r="358" customFormat="false" ht="15.75" hidden="false" customHeight="false" outlineLevel="0" collapsed="false">
      <c r="E358" s="1"/>
    </row>
    <row r="359" customFormat="false" ht="15.75" hidden="false" customHeight="false" outlineLevel="0" collapsed="false">
      <c r="E359" s="1"/>
    </row>
    <row r="360" customFormat="false" ht="15.75" hidden="false" customHeight="false" outlineLevel="0" collapsed="false">
      <c r="E360" s="1"/>
    </row>
    <row r="361" customFormat="false" ht="15.75" hidden="false" customHeight="false" outlineLevel="0" collapsed="false">
      <c r="E361" s="1"/>
    </row>
    <row r="362" customFormat="false" ht="15.75" hidden="false" customHeight="false" outlineLevel="0" collapsed="false">
      <c r="E362" s="1"/>
    </row>
    <row r="363" customFormat="false" ht="15.75" hidden="false" customHeight="false" outlineLevel="0" collapsed="false">
      <c r="E363" s="1"/>
    </row>
    <row r="364" customFormat="false" ht="15.75" hidden="false" customHeight="false" outlineLevel="0" collapsed="false">
      <c r="E364" s="1"/>
    </row>
    <row r="365" customFormat="false" ht="15.75" hidden="false" customHeight="false" outlineLevel="0" collapsed="false">
      <c r="E365" s="1"/>
    </row>
    <row r="366" customFormat="false" ht="15.75" hidden="false" customHeight="false" outlineLevel="0" collapsed="false">
      <c r="E366" s="1"/>
    </row>
    <row r="367" customFormat="false" ht="15.75" hidden="false" customHeight="false" outlineLevel="0" collapsed="false">
      <c r="E367" s="1"/>
    </row>
    <row r="368" customFormat="false" ht="15.75" hidden="false" customHeight="false" outlineLevel="0" collapsed="false">
      <c r="E368" s="1"/>
    </row>
    <row r="369" customFormat="false" ht="15.75" hidden="false" customHeight="false" outlineLevel="0" collapsed="false">
      <c r="E369" s="1"/>
    </row>
    <row r="370" customFormat="false" ht="15.75" hidden="false" customHeight="false" outlineLevel="0" collapsed="false">
      <c r="E370" s="1"/>
    </row>
    <row r="371" customFormat="false" ht="15.75" hidden="false" customHeight="false" outlineLevel="0" collapsed="false">
      <c r="E371" s="1"/>
    </row>
    <row r="372" customFormat="false" ht="15.75" hidden="false" customHeight="false" outlineLevel="0" collapsed="false">
      <c r="E372" s="1"/>
    </row>
    <row r="373" customFormat="false" ht="15.75" hidden="false" customHeight="false" outlineLevel="0" collapsed="false">
      <c r="E373" s="1"/>
    </row>
    <row r="374" customFormat="false" ht="15.75" hidden="false" customHeight="false" outlineLevel="0" collapsed="false">
      <c r="E374" s="1"/>
    </row>
  </sheetData>
  <hyperlinks>
    <hyperlink ref="G2" r:id="rId2" display="vk.com/agarbus2003"/>
    <hyperlink ref="G3" r:id="rId3" display="https://vk.com/id243002488"/>
    <hyperlink ref="G4" r:id="rId4" display="vk.com/kotyangensss"/>
    <hyperlink ref="G5" r:id="rId5" display="vk.com/id206813526"/>
    <hyperlink ref="G6" r:id="rId6" display="m.vk.com/djabella"/>
    <hyperlink ref="G8" r:id="rId7" display="https://m.vk.com/id262530619"/>
    <hyperlink ref="G9" r:id="rId8" display="https://vk.com/id316784802"/>
    <hyperlink ref="G10" r:id="rId9" display="Vk.com/lazarevtolyan"/>
    <hyperlink ref="G11" r:id="rId10" display="vk.com/muravyeva2012"/>
    <hyperlink ref="G12" r:id="rId11" display="vk.com/licharovski "/>
    <hyperlink ref="G14" r:id="rId12" display="vk.com/maninthebluebox"/>
    <hyperlink ref="G15" r:id="rId13" display="vk.com/sadmaris"/>
    <hyperlink ref="G16" r:id="rId14" display="vk.com/mara.rina"/>
    <hyperlink ref="G17" r:id="rId15" display="https://vk.com/id209670944"/>
    <hyperlink ref="G18" r:id="rId16" display="https://vk.com/teemereva"/>
    <hyperlink ref="G20" r:id="rId17" display="vk.com/loiwwer"/>
    <hyperlink ref="G21" r:id="rId18" display="vk.com/leepsi"/>
    <hyperlink ref="G22" r:id="rId19" display="https://vk.com/umnayshe4ka"/>
    <hyperlink ref="G23" r:id="rId20" display="https://vk.com/id308817000"/>
    <hyperlink ref="G24" r:id="rId21" display="vk.com/id183865528"/>
    <hyperlink ref="G25" r:id="rId22" display="https://vk.com/lzheldak"/>
    <hyperlink ref="G26" r:id="rId23" display="vk.com/zyymeboy"/>
    <hyperlink ref="G27" r:id="rId24" display="https://vk.com/1rustim1"/>
    <hyperlink ref="G28" r:id="rId25" display="vk.com/ijustwannahearyouscreamagain"/>
    <hyperlink ref="G29" r:id="rId26" display="https://vk.com/timfencing"/>
    <hyperlink ref="G30" r:id="rId27" display="vk.com/sykessad"/>
    <hyperlink ref="G31" r:id="rId28" display="vk.com/sergey80401"/>
    <hyperlink ref="G32" r:id="rId29" display="vk.com/sermon.kokosov"/>
    <hyperlink ref="G33" r:id="rId30" display="vk.com/id270970940"/>
    <hyperlink ref="G34" r:id="rId31" display="https://vk.com/jess41359473"/>
    <hyperlink ref="G35" r:id="rId32" display="https://vk.com/mihagg1"/>
    <hyperlink ref="G36" r:id="rId33" display="vk.com/siemens1337"/>
    <hyperlink ref="G37" r:id="rId34" display="vk.com/loiwwer"/>
    <hyperlink ref="G38" r:id="rId35" display="https://vk.com/shapebringer"/>
    <hyperlink ref="G39" r:id="rId36" display="https://vk.com/malenkaia_esho"/>
    <hyperlink ref="G40" r:id="rId37" display="https://vk.com/egorkaegorih"/>
    <hyperlink ref="G41" r:id="rId38" display="https://vk.com/lexxandria"/>
    <hyperlink ref="G42" r:id="rId39" display="https://vk.com/id324373436"/>
    <hyperlink ref="G43" r:id="rId40" display="vk.com/sergey80401"/>
    <hyperlink ref="G44" r:id="rId41" display="https://m.vk.com/evlgenius"/>
    <hyperlink ref="G45" r:id="rId42" display="https://vk.com/1rustim1"/>
    <hyperlink ref="G46" r:id="rId43" display="https://vk.com/liub04ka"/>
    <hyperlink ref="G49" r:id="rId44" display="https://vk.com/pbachinskaya2013"/>
    <hyperlink ref="G50" r:id="rId45" display="https://vk.com/id445282722"/>
    <hyperlink ref="G51" r:id="rId46" display="https://vk.com/id445282722"/>
    <hyperlink ref="G52" r:id="rId47" display="https://vk.com/pbachinskaya2013"/>
    <hyperlink ref="G53" r:id="rId48" display="https://m.vk.com/evlgenius"/>
    <hyperlink ref="G54" r:id="rId49" display="https://vk.com/nsidorov2001"/>
    <hyperlink ref="G55" r:id="rId50" display="http://vk.com/andrezolnikov"/>
    <hyperlink ref="G56" r:id="rId51" display="https://vk.com/id225935599"/>
    <hyperlink ref="G58" r:id="rId52" display="vk.com/aderkach2017"/>
    <hyperlink ref="G59" r:id="rId53" display="https://vk.com/id226113989"/>
    <hyperlink ref="G61" r:id="rId54" display="https://vk.com/mrmeller12"/>
    <hyperlink ref="G62" r:id="rId55" display="https://m.vk.com/id152267404"/>
    <hyperlink ref="G63" r:id="rId56" display="https://vk.com/id230203504"/>
    <hyperlink ref="G64" r:id="rId57" display="vk.com/renata_eva "/>
    <hyperlink ref="G65" r:id="rId58" display="https://m.vk.com/id269671662"/>
    <hyperlink ref="G66" r:id="rId59" display="https://vk.com/id382406601"/>
    <hyperlink ref="G67" r:id="rId60" display="vk.com/dref55"/>
    <hyperlink ref="G69" r:id="rId61" display="https://vk.com/id194845468"/>
    <hyperlink ref="G70" r:id="rId62" display="https://vk.com/missis.nasta20"/>
    <hyperlink ref="G72" r:id="rId63" display="https://vk.com/sergey.prokhorov2000"/>
    <hyperlink ref="G73" r:id="rId64" display="vk.com/yanafrank"/>
    <hyperlink ref="G74" r:id="rId65" display="https://vk.com/aliceintowonderland"/>
    <hyperlink ref="G75" r:id="rId66" display="https://vk.com/id210046407"/>
    <hyperlink ref="G76" r:id="rId67" display="https://vk.com/username1908"/>
    <hyperlink ref="G77" r:id="rId68" display="https://vk.com/id198934365"/>
    <hyperlink ref="G78" r:id="rId69" display="vk.com/polinko_malinko"/>
    <hyperlink ref="G79" r:id="rId70" display="https://vk.com/id183448945"/>
    <hyperlink ref="G80" r:id="rId71" display="https://vk.com/id183604164"/>
    <hyperlink ref="G81" r:id="rId72" display="https://vk.com/id157850061"/>
    <hyperlink ref="G82" r:id="rId73" display="https://vk.com/id183491405"/>
    <hyperlink ref="G83" r:id="rId74" display="https://vk.com/sshishova2000"/>
    <hyperlink ref="G84" r:id="rId75" display="vk.com/id189704537"/>
    <hyperlink ref="G85" r:id="rId76" display="vk.com/dimagolozov"/>
    <hyperlink ref="G86" r:id="rId77" display="vk.com/rustam_in"/>
    <hyperlink ref="G87" r:id="rId78" display="vk.com/17aaaaaaaaaaaaaaaaaaaaaaaaaaaaa"/>
    <hyperlink ref="G88" r:id="rId79" display="vk.com/sykessad"/>
    <hyperlink ref="G89" r:id="rId80" display="https://vk.com/demenkovalexey"/>
    <hyperlink ref="G90" r:id="rId81" display="vk.com/anna.kurbatova99"/>
    <hyperlink ref="G91" r:id="rId82" display="https://vk.com/id269312243"/>
    <hyperlink ref="G92" r:id="rId83" display="https://vk.com/id276675815"/>
    <hyperlink ref="G93" r:id="rId84" display="https://vk.com/anna_dolgova2004"/>
    <hyperlink ref="G94" r:id="rId85" display="https://vk.com/id430049679"/>
    <hyperlink ref="G95" r:id="rId86" display="vk.com/id308485017"/>
    <hyperlink ref="G96" r:id="rId87" display="https://vk.com/sofialyubavina"/>
    <hyperlink ref="G97" r:id="rId88" display="https://vk.com/pbachinskaya2013"/>
    <hyperlink ref="G99" r:id="rId89" display="vk.com/id186803102"/>
    <hyperlink ref="G100" r:id="rId90" display="https://vk.com/id249818753"/>
    <hyperlink ref="G102" r:id="rId91" display="https://m.vk.com/id402259781"/>
    <hyperlink ref="G103" r:id="rId92" display="https://vk.com/utlisa"/>
    <hyperlink ref="G104" r:id="rId93" display="vk.com/valeria_vinogradova0"/>
    <hyperlink ref="G105" r:id="rId94" display="https://vk.com/id139785776"/>
    <hyperlink ref="G106" r:id="rId95" display="https://vk.com/katyaaaa468"/>
    <hyperlink ref="G107" r:id="rId96" display="https://vk.com/andrvat"/>
    <hyperlink ref="G108" r:id="rId97" display="vk.com/udav_gosha"/>
    <hyperlink ref="G109" r:id="rId98" display="vk.com/sergey80401"/>
    <hyperlink ref="G110" r:id="rId99" display="https://vk.com/id288643683"/>
    <hyperlink ref="G111" r:id="rId100" display="https://m.vk.com/id152267404"/>
    <hyperlink ref="G112" r:id="rId101" display="vk.com/diamelnik"/>
    <hyperlink ref="G113" r:id="rId102" display="https://vk.com/id112552816"/>
    <hyperlink ref="G115" r:id="rId103" display="https://m.vk.com/alinasavchenko0"/>
    <hyperlink ref="G116" r:id="rId104" display="https://vk.com/id252385302"/>
    <hyperlink ref="G117" r:id="rId105" display="https://vk.com/id318731608"/>
    <hyperlink ref="G118" r:id="rId106" display="vk.com/id271711683"/>
    <hyperlink ref="G119" r:id="rId107" display="vk.com/elimaksi"/>
    <hyperlink ref="G120" r:id="rId108" display="https://vk.com/s.papakina"/>
    <hyperlink ref="G121" r:id="rId109" display="https://vk.com/id308817000"/>
    <hyperlink ref="G122" r:id="rId110" display="https://vk.com/id171242575"/>
    <hyperlink ref="G123" r:id="rId111" display="https://vk.com/id85584620"/>
    <hyperlink ref="G124" r:id="rId112" display="https://vk.com/idvadichka"/>
    <hyperlink ref="G125" r:id="rId113" display="vk.com/neko_murr"/>
    <hyperlink ref="G126" r:id="rId114" display="https://vk.com/avstralo_pitek"/>
    <hyperlink ref="G127" r:id="rId115" display="https://vk.com/id200827263"/>
    <hyperlink ref="G128" r:id="rId116" display="vk.com/byheart_chaika"/>
    <hyperlink ref="G129" r:id="rId117" display=" vk.com/aderkach2017"/>
    <hyperlink ref="G130" r:id="rId118" display="https://vk.com/s.papakina"/>
    <hyperlink ref="G131" r:id="rId119" display="https://vk.com/olya.protazanova"/>
    <hyperlink ref="G132" r:id="rId120" display="https://vk.com/scumlife69"/>
    <hyperlink ref="G133" r:id="rId121" display="https://vk.com/m.arkushenko"/>
    <hyperlink ref="G134" r:id="rId122" display="https://vk.com/tixon2002"/>
    <hyperlink ref="G135" r:id="rId123" display="https://m.vk.com/dimetria03"/>
    <hyperlink ref="G136" r:id="rId124" display="https://m.vk.com/dimetria03"/>
    <hyperlink ref="G137" r:id="rId125" display="https://vk.com/id308817000"/>
    <hyperlink ref="G138" r:id="rId126" display="https://vk.com/nternovaya0"/>
    <hyperlink ref="G139" r:id="rId127" display="vk.com/mikheevii"/>
    <hyperlink ref="G140" r:id="rId128" display="vk.com/ira_getalova"/>
    <hyperlink ref="G141" r:id="rId129" display="https://vk.com/beslizast"/>
    <hyperlink ref="G142" r:id="rId130" display="http://vk.com/id415155344"/>
    <hyperlink ref="G143" r:id="rId131" display="https://vk.com/mozyleva_marie"/>
    <hyperlink ref="G144" r:id="rId132" display="vk.com/id440293644"/>
    <hyperlink ref="G145" r:id="rId133" display="https://vk.com/der_beste_god"/>
    <hyperlink ref="G146" r:id="rId134" display="vk.com/vadimka_zaripov"/>
    <hyperlink ref="G147" r:id="rId135" display="https://m.vk.com/id172357435"/>
    <hyperlink ref="G148" r:id="rId136" display="https://vk.com/homesituation"/>
    <hyperlink ref="G149" r:id="rId137" display="vk.com/id234591697"/>
    <hyperlink ref="G150" r:id="rId138" display="https://vk.com/id207531264"/>
    <hyperlink ref="G151" r:id="rId139" display="vk.com/id153731120"/>
    <hyperlink ref="G152" r:id="rId140" display="https://vk.com/id207531264"/>
    <hyperlink ref="G153" r:id="rId141" display="vk.com/id415230992"/>
    <hyperlink ref="G154" r:id="rId142" display="vk.com/ann_1907"/>
    <hyperlink ref="G155" r:id="rId143" display="https://m.vk.com/id193643114?act=info"/>
    <hyperlink ref="G156" r:id="rId144" display="https://vk.com/doc_ya"/>
    <hyperlink ref="G157" r:id="rId145" display="https://m.vk.com/sila_11797r649_sila"/>
    <hyperlink ref="G158" r:id="rId146" display="https://vk.com/id224821133"/>
    <hyperlink ref="G159" r:id="rId147" display="https://m.vk.com/lolpo2006"/>
    <hyperlink ref="G160" r:id="rId148" display="vk.com/ann_1907"/>
    <hyperlink ref="G161" r:id="rId149" display="https://m.vk.com/id307165294"/>
    <hyperlink ref="G162" r:id="rId150" display="https://vk.com/id223911840"/>
    <hyperlink ref="G163" r:id="rId151" display="https://vk.com/id136912725"/>
    <hyperlink ref="G164" r:id="rId152" display="https://m.vk.com/id85584620"/>
    <hyperlink ref="G165" r:id="rId153" display="https://m.vk.com/id85584620"/>
    <hyperlink ref="G166" r:id="rId154" display="https://m.vk.com/id85584620"/>
    <hyperlink ref="G167" r:id="rId155" display="vk.com/dominedeusmf"/>
    <hyperlink ref="G168" r:id="rId156" display="vk.com/id152857098"/>
    <hyperlink ref="G169" r:id="rId157" display="https://m.vk.com/wall-95923242_390"/>
    <hyperlink ref="G170" r:id="rId158" display="https://m.vk.com/wall-95923242_390"/>
    <hyperlink ref="G171" r:id="rId159" display="https://vk.com/kiparis_zelenenkiy"/>
    <hyperlink ref="G172" r:id="rId160" display="vk.com/id245076479"/>
    <hyperlink ref="G173" r:id="rId161" display="https://vk.com/id356172162"/>
    <hyperlink ref="G174" r:id="rId162" display="vk.com/werrewqr"/>
    <hyperlink ref="G175" r:id="rId163" display="https://vk.com/id38376024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16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E2" activeCellId="0" sqref="E2"/>
    </sheetView>
  </sheetViews>
  <sheetFormatPr defaultColWidth="14.4609375" defaultRowHeight="15.75" zeroHeight="false" outlineLevelRow="0" outlineLevelCol="0"/>
  <cols>
    <col collapsed="false" customWidth="true" hidden="false" outlineLevel="0" max="4" min="4" style="0" width="4.57"/>
    <col collapsed="false" customWidth="true" hidden="false" outlineLevel="0" max="5" min="5" style="0" width="19.71"/>
    <col collapsed="false" customWidth="true" hidden="false" outlineLevel="0" max="6" min="6" style="0" width="46.86"/>
    <col collapsed="false" customWidth="true" hidden="false" outlineLevel="0" max="7" min="7" style="0" width="20.98"/>
    <col collapsed="false" customWidth="true" hidden="false" outlineLevel="0" max="8" min="8" style="0" width="21.71"/>
    <col collapsed="false" customWidth="true" hidden="false" outlineLevel="0" max="9" min="9" style="0" width="30.14"/>
    <col collapsed="false" customWidth="true" hidden="false" outlineLevel="0" max="10" min="10" style="0" width="49.42"/>
    <col collapsed="false" customWidth="true" hidden="false" outlineLevel="0" max="12" min="12" style="0" width="6.57"/>
    <col collapsed="false" customWidth="true" hidden="false" outlineLevel="0" max="26" min="17" style="0" width="2.99"/>
  </cols>
  <sheetData>
    <row r="1" customFormat="false" ht="15.75" hidden="false" customHeight="false" outlineLevel="0" collapsed="false">
      <c r="A1" s="0" t="s">
        <v>678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679</v>
      </c>
      <c r="H1" s="0" t="s">
        <v>7</v>
      </c>
      <c r="I1" s="0" t="s">
        <v>8</v>
      </c>
      <c r="J1" s="0" t="s">
        <v>9</v>
      </c>
      <c r="K1" s="1" t="s">
        <v>680</v>
      </c>
      <c r="L1" s="1" t="s">
        <v>681</v>
      </c>
      <c r="M1" s="1" t="s">
        <v>682</v>
      </c>
      <c r="N1" s="1" t="s">
        <v>683</v>
      </c>
      <c r="O1" s="1" t="s">
        <v>684</v>
      </c>
      <c r="P1" s="1" t="s">
        <v>685</v>
      </c>
      <c r="Q1" s="5" t="n">
        <v>5</v>
      </c>
      <c r="R1" s="5" t="n">
        <v>6</v>
      </c>
      <c r="S1" s="5" t="n">
        <v>9</v>
      </c>
      <c r="T1" s="5" t="n">
        <v>10</v>
      </c>
      <c r="U1" s="5" t="n">
        <v>11</v>
      </c>
      <c r="V1" s="5" t="n">
        <v>12</v>
      </c>
      <c r="W1" s="5" t="n">
        <v>13</v>
      </c>
      <c r="X1" s="5" t="n">
        <v>16</v>
      </c>
      <c r="Y1" s="5" t="n">
        <v>17</v>
      </c>
      <c r="Z1" s="5" t="n">
        <v>18</v>
      </c>
    </row>
    <row r="2" customFormat="false" ht="15.75" hidden="false" customHeight="false" outlineLevel="0" collapsed="false">
      <c r="A2" s="6" t="e">
        <f aca="true">INDIRECT("'Ответы на форму (1)'!A"&amp;$L2,TRUE())</f>
        <v>#REF!</v>
      </c>
      <c r="B2" s="7" t="e">
        <f aca="true">INDIRECT("'Ответы на форму (1)'!B"&amp;$L2,TRUE())</f>
        <v>#REF!</v>
      </c>
      <c r="C2" s="7" t="e">
        <f aca="true">INDIRECT("'Ответы на форму (1)'!C"&amp;$L2,TRUE())</f>
        <v>#REF!</v>
      </c>
      <c r="D2" s="7" t="e">
        <f aca="true">INDIRECT("'Ответы на форму (1)'!D"&amp;$L2,TRUE())</f>
        <v>#REF!</v>
      </c>
      <c r="E2" s="7" t="n">
        <f aca="false">IFERROR(__xludf.dummyfunction("iferror(VALUE(REGEXEXTRACT(TEXT(INDIRECT(""'Ответы на форму (1)'!E""&amp;$L2,TRUE),""####""),""[0-9]+"")),INDIRECT(""'Ответы на форму (1)'!E""&amp;$L2,TRUE))"),98)</f>
        <v>98</v>
      </c>
      <c r="F2" s="7" t="e">
        <f aca="true">INDIRECT("'Ответы на форму (1)'!F"&amp;$L2,TRUE())</f>
        <v>#REF!</v>
      </c>
      <c r="G2" s="8" t="e">
        <f aca="true">IFERROR(MID(INDIRECT("'Ответы на форму (1)'!G"&amp;$L2,TRUE()),SEARCH("vk.com",INDIRECT("'Ответы на форму (1)'!G"&amp;$L2,TRUE())),LEN(INDIRECT("'Ответы на форму (1)'!G"&amp;$L2,TRUE()))),INDIRECT("'Ответы на форму (1)'!G"&amp;$L2,TRUE()))</f>
        <v>#REF!</v>
      </c>
      <c r="H2" s="7" t="e">
        <f aca="true">INDIRECT("'Ответы на форму (1)'!H"&amp;$L2,TRUE())</f>
        <v>#REF!</v>
      </c>
      <c r="I2" s="7" t="e">
        <f aca="true">INDIRECT("'Ответы на форму (1)'!I"&amp;$L2,TRUE())</f>
        <v>#REF!</v>
      </c>
      <c r="J2" s="7" t="e">
        <f aca="true">INDIRECT("'Ответы на форму (1)'!J"&amp;$L2,TRUE())</f>
        <v>#REF!</v>
      </c>
      <c r="K2" s="7" t="e">
        <f aca="false" t="array" ref="K2:K2">IF(COUNTIF(concat(TRIM('Список прошлого года'!$B$2:$B$200),TRIM('Список прошлого года'!$C$2:$C$200)),concat(TRIM(B2),TRIM(C2))) &gt; 0,"Да","Нет")</f>
        <v>#NAME?</v>
      </c>
      <c r="L2" s="5" t="n">
        <v>2</v>
      </c>
      <c r="M2" s="5" t="n">
        <v>2</v>
      </c>
      <c r="N2" s="7"/>
      <c r="O2" s="5" t="s">
        <v>14</v>
      </c>
      <c r="P2" s="7"/>
      <c r="Q2" s="9" t="n">
        <v>1</v>
      </c>
      <c r="R2" s="10" t="n">
        <v>0</v>
      </c>
      <c r="S2" s="10" t="n">
        <v>0</v>
      </c>
      <c r="T2" s="10" t="n">
        <v>1</v>
      </c>
      <c r="U2" s="10" t="n">
        <v>1</v>
      </c>
      <c r="V2" s="7"/>
      <c r="W2" s="7"/>
      <c r="X2" s="7"/>
      <c r="Y2" s="7"/>
      <c r="Z2" s="7"/>
    </row>
    <row r="3" customFormat="false" ht="15.75" hidden="false" customHeight="false" outlineLevel="0" collapsed="false">
      <c r="A3" s="6" t="e">
        <f aca="true">INDIRECT("'Ответы на форму (1)'!A"&amp;$L3,TRUE())</f>
        <v>#REF!</v>
      </c>
      <c r="B3" s="7" t="e">
        <f aca="true">INDIRECT("'Ответы на форму (1)'!B"&amp;$L3,TRUE())</f>
        <v>#REF!</v>
      </c>
      <c r="C3" s="7" t="e">
        <f aca="true">INDIRECT("'Ответы на форму (1)'!C"&amp;$L3,TRUE())</f>
        <v>#REF!</v>
      </c>
      <c r="D3" s="7" t="e">
        <f aca="true">INDIRECT("'Ответы на форму (1)'!D"&amp;$L3,TRUE())</f>
        <v>#REF!</v>
      </c>
      <c r="E3" s="7" t="n">
        <f aca="false">IFERROR(__xludf.dummyfunction("iferror(VALUE(REGEXEXTRACT(TEXT(INDIRECT(""'Ответы на форму (1)'!E""&amp;$L3,TRUE),""####""),""[0-9]+"")),INDIRECT(""'Ответы на форму (1)'!E""&amp;$L3,TRUE))"),117)</f>
        <v>117</v>
      </c>
      <c r="F3" s="7" t="e">
        <f aca="true">INDIRECT("'Ответы на форму (1)'!F"&amp;$L3,TRUE())</f>
        <v>#REF!</v>
      </c>
      <c r="G3" s="8" t="e">
        <f aca="true">IFERROR(MID(INDIRECT("'Ответы на форму (1)'!G"&amp;$L3,TRUE()),SEARCH("vk.com",INDIRECT("'Ответы на форму (1)'!G"&amp;$L3,TRUE())),LEN(INDIRECT("'Ответы на форму (1)'!G"&amp;$L3,TRUE()))),INDIRECT("'Ответы на форму (1)'!G"&amp;$L3,TRUE()))</f>
        <v>#REF!</v>
      </c>
      <c r="H3" s="7" t="e">
        <f aca="true">INDIRECT("'Ответы на форму (1)'!H"&amp;$L3,TRUE())</f>
        <v>#REF!</v>
      </c>
      <c r="I3" s="7" t="e">
        <f aca="true">INDIRECT("'Ответы на форму (1)'!I"&amp;$L3,TRUE())</f>
        <v>#REF!</v>
      </c>
      <c r="J3" s="7" t="e">
        <f aca="true">INDIRECT("'Ответы на форму (1)'!J"&amp;$L3,TRUE())</f>
        <v>#REF!</v>
      </c>
      <c r="K3" s="7" t="e">
        <f aca="false" t="array" ref="K3:K3">IF(COUNTIF(concat(TRIM('Список прошлого года'!$B$2:$B$200),TRIM('Список прошлого года'!$C$2:$C$200)),concat(TRIM(B3),TRIM(C3))) &gt; 0,"Да","Нет")</f>
        <v>#NAME?</v>
      </c>
      <c r="L3" s="5" t="n">
        <v>3</v>
      </c>
      <c r="M3" s="5" t="n">
        <v>2</v>
      </c>
      <c r="N3" s="7"/>
      <c r="O3" s="5" t="s">
        <v>15</v>
      </c>
      <c r="P3" s="7"/>
      <c r="Q3" s="9" t="n">
        <v>1</v>
      </c>
      <c r="R3" s="10" t="n">
        <v>1</v>
      </c>
      <c r="S3" s="10" t="n">
        <v>1</v>
      </c>
      <c r="T3" s="10" t="n">
        <v>1</v>
      </c>
      <c r="U3" s="10" t="n">
        <v>1</v>
      </c>
      <c r="V3" s="7"/>
      <c r="W3" s="7"/>
      <c r="X3" s="7"/>
      <c r="Y3" s="7"/>
      <c r="Z3" s="7"/>
    </row>
    <row r="4" customFormat="false" ht="15.75" hidden="false" customHeight="false" outlineLevel="0" collapsed="false">
      <c r="A4" s="6" t="e">
        <f aca="true">INDIRECT("'Ответы на форму (1)'!A"&amp;$L4,TRUE())</f>
        <v>#REF!</v>
      </c>
      <c r="B4" s="7" t="e">
        <f aca="true">INDIRECT("'Ответы на форму (1)'!B"&amp;$L4,TRUE())</f>
        <v>#REF!</v>
      </c>
      <c r="C4" s="7" t="e">
        <f aca="true">INDIRECT("'Ответы на форму (1)'!C"&amp;$L4,TRUE())</f>
        <v>#REF!</v>
      </c>
      <c r="D4" s="7" t="e">
        <f aca="true">INDIRECT("'Ответы на форму (1)'!D"&amp;$L4,TRUE())</f>
        <v>#REF!</v>
      </c>
      <c r="E4" s="7" t="n">
        <f aca="false">IFERROR(__xludf.dummyfunction("iferror(VALUE(REGEXEXTRACT(TEXT(INDIRECT(""'Ответы на форму (1)'!E""&amp;$L4,TRUE),""####""),""[0-9]+"")),INDIRECT(""'Ответы на форму (1)'!E""&amp;$L4,TRUE))"),117)</f>
        <v>117</v>
      </c>
      <c r="F4" s="7" t="e">
        <f aca="true">INDIRECT("'Ответы на форму (1)'!F"&amp;$L4,TRUE())</f>
        <v>#REF!</v>
      </c>
      <c r="G4" s="8" t="e">
        <f aca="true">IFERROR(MID(INDIRECT("'Ответы на форму (1)'!G"&amp;$L4,TRUE()),SEARCH("vk.com",INDIRECT("'Ответы на форму (1)'!G"&amp;$L4,TRUE())),LEN(INDIRECT("'Ответы на форму (1)'!G"&amp;$L4,TRUE()))),INDIRECT("'Ответы на форму (1)'!G"&amp;$L4,TRUE()))</f>
        <v>#REF!</v>
      </c>
      <c r="H4" s="7" t="e">
        <f aca="true">INDIRECT("'Ответы на форму (1)'!H"&amp;$L4,TRUE())</f>
        <v>#REF!</v>
      </c>
      <c r="I4" s="7" t="e">
        <f aca="true">INDIRECT("'Ответы на форму (1)'!I"&amp;$L4,TRUE())</f>
        <v>#REF!</v>
      </c>
      <c r="J4" s="7" t="e">
        <f aca="true">INDIRECT("'Ответы на форму (1)'!J"&amp;$L4,TRUE())</f>
        <v>#REF!</v>
      </c>
      <c r="K4" s="7" t="e">
        <f aca="false" t="array" ref="K4:K4">IF(COUNTIF(concat(TRIM('Список прошлого года'!$B$2:$B$200),TRIM('Список прошлого года'!$C$2:$C$200)),concat(TRIM(B4),TRIM(C4))) &gt; 0,"Да","Нет")</f>
        <v>#NAME?</v>
      </c>
      <c r="L4" s="5" t="n">
        <v>4</v>
      </c>
      <c r="M4" s="5" t="n">
        <v>2</v>
      </c>
      <c r="N4" s="7"/>
      <c r="O4" s="7" t="s">
        <v>29</v>
      </c>
      <c r="P4" s="7"/>
      <c r="Q4" s="9" t="n">
        <v>1</v>
      </c>
      <c r="R4" s="10" t="n">
        <v>1</v>
      </c>
      <c r="S4" s="10" t="n">
        <v>1</v>
      </c>
      <c r="T4" s="10" t="n">
        <v>1</v>
      </c>
      <c r="U4" s="10" t="n">
        <v>1</v>
      </c>
      <c r="V4" s="7"/>
      <c r="W4" s="7"/>
      <c r="X4" s="7"/>
      <c r="Y4" s="7"/>
      <c r="Z4" s="7"/>
    </row>
    <row r="5" customFormat="false" ht="15.75" hidden="false" customHeight="false" outlineLevel="0" collapsed="false">
      <c r="A5" s="11" t="e">
        <f aca="true">INDIRECT("'Ответы на форму (1)'!A"&amp;$L5,TRUE())</f>
        <v>#REF!</v>
      </c>
      <c r="B5" s="0" t="e">
        <f aca="true">INDIRECT("'Ответы на форму (1)'!B"&amp;$L5,TRUE())</f>
        <v>#REF!</v>
      </c>
      <c r="C5" s="0" t="e">
        <f aca="true">INDIRECT("'Ответы на форму (1)'!C"&amp;$L5,TRUE())</f>
        <v>#REF!</v>
      </c>
      <c r="D5" s="0" t="e">
        <f aca="true">INDIRECT("'Ответы на форму (1)'!D"&amp;$L5,TRUE())</f>
        <v>#REF!</v>
      </c>
      <c r="E5" s="0" t="n">
        <f aca="false">IFERROR(__xludf.dummyfunction("iferror(VALUE(REGEXEXTRACT(TEXT(INDIRECT(""'Ответы на форму (1)'!E""&amp;$L5,TRUE),""####""),""[0-9]+"")),INDIRECT(""'Ответы на форму (1)'!E""&amp;$L5,TRUE))"),117)</f>
        <v>117</v>
      </c>
      <c r="F5" s="0" t="e">
        <f aca="true">INDIRECT("'Ответы на форму (1)'!F"&amp;$L5,TRUE())</f>
        <v>#REF!</v>
      </c>
      <c r="G5" s="12" t="e">
        <f aca="true">IFERROR(MID(INDIRECT("'Ответы на форму (1)'!G"&amp;$L5,TRUE()),SEARCH("vk.com",INDIRECT("'Ответы на форму (1)'!G"&amp;$L5,TRUE())),LEN(INDIRECT("'Ответы на форму (1)'!G"&amp;$L5,TRUE()))),INDIRECT("'Ответы на форму (1)'!G"&amp;$L5,TRUE()))</f>
        <v>#REF!</v>
      </c>
      <c r="H5" s="0" t="e">
        <f aca="true">INDIRECT("'Ответы на форму (1)'!H"&amp;$L5,TRUE())</f>
        <v>#REF!</v>
      </c>
      <c r="I5" s="0" t="e">
        <f aca="true">INDIRECT("'Ответы на форму (1)'!I"&amp;$L5,TRUE())</f>
        <v>#REF!</v>
      </c>
      <c r="J5" s="0" t="e">
        <f aca="true">INDIRECT("'Ответы на форму (1)'!J"&amp;$L5,TRUE())</f>
        <v>#REF!</v>
      </c>
      <c r="K5" s="0" t="e">
        <f aca="false" t="array" ref="K5:K5">IF(COUNTIF(concat(TRIM('Список прошлого года'!$B$2:$B$200),TRIM('Список прошлого года'!$C$2:$C$200)),concat(TRIM(B5),TRIM(C5))) &gt; 0,"Да","Нет")</f>
        <v>#NAME?</v>
      </c>
      <c r="L5" s="1" t="n">
        <v>5</v>
      </c>
      <c r="M5" s="1" t="n">
        <v>2</v>
      </c>
      <c r="O5" s="5" t="s">
        <v>15</v>
      </c>
      <c r="Q5" s="9" t="n">
        <v>1</v>
      </c>
      <c r="R5" s="10" t="n">
        <v>1</v>
      </c>
      <c r="S5" s="10" t="n">
        <v>1</v>
      </c>
      <c r="T5" s="10" t="n">
        <v>1</v>
      </c>
      <c r="U5" s="10" t="n">
        <v>1</v>
      </c>
    </row>
    <row r="6" customFormat="false" ht="15.75" hidden="false" customHeight="false" outlineLevel="0" collapsed="false">
      <c r="A6" s="11" t="e">
        <f aca="true">INDIRECT("'Ответы на форму (1)'!A"&amp;$L6,TRUE())</f>
        <v>#REF!</v>
      </c>
      <c r="B6" s="0" t="e">
        <f aca="true">INDIRECT("'Ответы на форму (1)'!B"&amp;$L6,TRUE())</f>
        <v>#REF!</v>
      </c>
      <c r="C6" s="0" t="e">
        <f aca="true">INDIRECT("'Ответы на форму (1)'!C"&amp;$L6,TRUE())</f>
        <v>#REF!</v>
      </c>
      <c r="D6" s="0" t="e">
        <f aca="true">INDIRECT("'Ответы на форму (1)'!D"&amp;$L6,TRUE())</f>
        <v>#REF!</v>
      </c>
      <c r="E6" s="0" t="n">
        <f aca="false">IFERROR(__xludf.dummyfunction("iferror(VALUE(REGEXEXTRACT(TEXT(INDIRECT(""'Ответы на форму (1)'!E""&amp;$L6,TRUE),""####""),""[0-9]+"")),INDIRECT(""'Ответы на форму (1)'!E""&amp;$L6,TRUE))"),117)</f>
        <v>117</v>
      </c>
      <c r="F6" s="0" t="e">
        <f aca="true">INDIRECT("'Ответы на форму (1)'!F"&amp;$L6,TRUE())</f>
        <v>#REF!</v>
      </c>
      <c r="G6" s="12" t="e">
        <f aca="true">IFERROR(MID(INDIRECT("'Ответы на форму (1)'!G"&amp;$L6,TRUE()),SEARCH("vk.com",INDIRECT("'Ответы на форму (1)'!G"&amp;$L6,TRUE())),LEN(INDIRECT("'Ответы на форму (1)'!G"&amp;$L6,TRUE()))),INDIRECT("'Ответы на форму (1)'!G"&amp;$L6,TRUE()))</f>
        <v>#REF!</v>
      </c>
      <c r="H6" s="0" t="e">
        <f aca="true">INDIRECT("'Ответы на форму (1)'!H"&amp;$L6,TRUE())</f>
        <v>#REF!</v>
      </c>
      <c r="I6" s="0" t="e">
        <f aca="true">INDIRECT("'Ответы на форму (1)'!I"&amp;$L6,TRUE())</f>
        <v>#REF!</v>
      </c>
      <c r="J6" s="0" t="e">
        <f aca="true">INDIRECT("'Ответы на форму (1)'!J"&amp;$L6,TRUE())</f>
        <v>#REF!</v>
      </c>
      <c r="K6" s="0" t="e">
        <f aca="false" t="array" ref="K6:K6">IF(COUNTIF(concat(TRIM('Список прошлого года'!$B$2:$B$200),TRIM('Список прошлого года'!$C$2:$C$200)),concat(TRIM(B6),TRIM(C6))) &gt; 0,"Да","Нет")</f>
        <v>#NAME?</v>
      </c>
      <c r="L6" s="1" t="n">
        <v>6</v>
      </c>
      <c r="M6" s="1" t="n">
        <v>2</v>
      </c>
      <c r="O6" s="0" t="s">
        <v>40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</row>
    <row r="7" customFormat="false" ht="15.75" hidden="false" customHeight="false" outlineLevel="0" collapsed="false">
      <c r="A7" s="6" t="e">
        <f aca="true">INDIRECT("'Ответы на форму (1)'!A"&amp;$L7,TRUE())</f>
        <v>#REF!</v>
      </c>
      <c r="B7" s="7" t="e">
        <f aca="true">INDIRECT("'Ответы на форму (1)'!B"&amp;$L7,TRUE())</f>
        <v>#REF!</v>
      </c>
      <c r="C7" s="7" t="e">
        <f aca="true">INDIRECT("'Ответы на форму (1)'!C"&amp;$L7,TRUE())</f>
        <v>#REF!</v>
      </c>
      <c r="D7" s="7" t="e">
        <f aca="true">INDIRECT("'Ответы на форму (1)'!D"&amp;$L7,TRUE())</f>
        <v>#REF!</v>
      </c>
      <c r="E7" s="7" t="n">
        <f aca="false">IFERROR(__xludf.dummyfunction("iferror(VALUE(REGEXEXTRACT(TEXT(INDIRECT(""'Ответы на форму (1)'!E""&amp;$L7,TRUE),""####""),""[0-9]+"")),INDIRECT(""'Ответы на форму (1)'!E""&amp;$L7,TRUE))"),51)</f>
        <v>51</v>
      </c>
      <c r="F7" s="7" t="e">
        <f aca="true">INDIRECT("'Ответы на форму (1)'!F"&amp;$L7,TRUE())</f>
        <v>#REF!</v>
      </c>
      <c r="G7" s="7" t="e">
        <f aca="true">IFERROR(MID(INDIRECT("'Ответы на форму (1)'!G"&amp;$L7,TRUE()),SEARCH("vk.com",INDIRECT("'Ответы на форму (1)'!G"&amp;$L7,TRUE())),LEN(INDIRECT("'Ответы на форму (1)'!G"&amp;$L7,TRUE()))),INDIRECT("'Ответы на форму (1)'!G"&amp;$L7,TRUE()))</f>
        <v>#REF!</v>
      </c>
      <c r="H7" s="7" t="e">
        <f aca="true">INDIRECT("'Ответы на форму (1)'!H"&amp;$L7,TRUE())</f>
        <v>#REF!</v>
      </c>
      <c r="I7" s="7" t="e">
        <f aca="true">INDIRECT("'Ответы на форму (1)'!I"&amp;$L7,TRUE())</f>
        <v>#REF!</v>
      </c>
      <c r="J7" s="7" t="e">
        <f aca="true">INDIRECT("'Ответы на форму (1)'!J"&amp;$L7,TRUE())</f>
        <v>#REF!</v>
      </c>
      <c r="K7" s="7" t="e">
        <f aca="false" t="array" ref="K7:K7">IF(COUNTIF(concat(TRIM('Список прошлого года'!$B$2:$B$200),TRIM('Список прошлого года'!$C$2:$C$200)),concat(TRIM(B7),TRIM(C7))) &gt; 0,"Да","Нет")</f>
        <v>#NAME?</v>
      </c>
      <c r="L7" s="5" t="n">
        <v>7</v>
      </c>
      <c r="M7" s="5" t="n">
        <v>2</v>
      </c>
      <c r="N7" s="7"/>
      <c r="O7" s="7" t="s">
        <v>29</v>
      </c>
      <c r="P7" s="7"/>
      <c r="Q7" s="9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7"/>
      <c r="W7" s="7"/>
      <c r="X7" s="7"/>
      <c r="Y7" s="7"/>
      <c r="Z7" s="7"/>
    </row>
    <row r="8" customFormat="false" ht="15.75" hidden="false" customHeight="false" outlineLevel="0" collapsed="false">
      <c r="A8" s="11" t="e">
        <f aca="true">INDIRECT("'Ответы на форму (1)'!A"&amp;$L8,TRUE())</f>
        <v>#REF!</v>
      </c>
      <c r="B8" s="0" t="e">
        <f aca="true">INDIRECT("'Ответы на форму (1)'!B"&amp;$L8,TRUE())</f>
        <v>#REF!</v>
      </c>
      <c r="C8" s="0" t="e">
        <f aca="true">INDIRECT("'Ответы на форму (1)'!C"&amp;$L8,TRUE())</f>
        <v>#REF!</v>
      </c>
      <c r="D8" s="0" t="e">
        <f aca="true">INDIRECT("'Ответы на форму (1)'!D"&amp;$L8,TRUE())</f>
        <v>#REF!</v>
      </c>
      <c r="E8" s="0" t="n">
        <f aca="false">IFERROR(__xludf.dummyfunction("iferror(VALUE(REGEXEXTRACT(TEXT(INDIRECT(""'Ответы на форму (1)'!E""&amp;$L8,TRUE),""####""),""[0-9]+"")),INDIRECT(""'Ответы на форму (1)'!E""&amp;$L8,TRUE))"),117)</f>
        <v>117</v>
      </c>
      <c r="F8" s="0" t="e">
        <f aca="true">INDIRECT("'Ответы на форму (1)'!F"&amp;$L8,TRUE())</f>
        <v>#REF!</v>
      </c>
      <c r="G8" s="12" t="e">
        <f aca="true">IFERROR(MID(INDIRECT("'Ответы на форму (1)'!G"&amp;$L8,TRUE()),SEARCH("vk.com",INDIRECT("'Ответы на форму (1)'!G"&amp;$L8,TRUE())),LEN(INDIRECT("'Ответы на форму (1)'!G"&amp;$L8,TRUE()))),INDIRECT("'Ответы на форму (1)'!G"&amp;$L8,TRUE()))</f>
        <v>#REF!</v>
      </c>
      <c r="H8" s="0" t="e">
        <f aca="true">INDIRECT("'Ответы на форму (1)'!H"&amp;$L8,TRUE())</f>
        <v>#REF!</v>
      </c>
      <c r="I8" s="1" t="s">
        <v>15</v>
      </c>
      <c r="J8" s="0" t="e">
        <f aca="true">INDIRECT("'Ответы на форму (1)'!J"&amp;$L8,TRUE())</f>
        <v>#REF!</v>
      </c>
      <c r="K8" s="0" t="e">
        <f aca="false" t="array" ref="K8:K8">IF(COUNTIF(concat(TRIM('Список прошлого года'!$B$2:$B$200),TRIM('Список прошлого года'!$C$2:$C$200)),concat(TRIM(B8),TRIM(C8))) &gt; 0,"Да","Нет")</f>
        <v>#NAME?</v>
      </c>
      <c r="L8" s="1" t="n">
        <v>8</v>
      </c>
      <c r="M8" s="1" t="n">
        <v>2</v>
      </c>
      <c r="N8" s="1" t="s">
        <v>686</v>
      </c>
      <c r="O8" s="7" t="s">
        <v>148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</row>
    <row r="9" customFormat="false" ht="15.75" hidden="false" customHeight="false" outlineLevel="0" collapsed="false">
      <c r="A9" s="6" t="e">
        <f aca="true">INDIRECT("'Ответы на форму (1)'!A"&amp;$L9,TRUE())</f>
        <v>#REF!</v>
      </c>
      <c r="B9" s="7" t="e">
        <f aca="true">INDIRECT("'Ответы на форму (1)'!B"&amp;$L9,TRUE())</f>
        <v>#REF!</v>
      </c>
      <c r="C9" s="7" t="e">
        <f aca="true">INDIRECT("'Ответы на форму (1)'!C"&amp;$L9,TRUE())</f>
        <v>#REF!</v>
      </c>
      <c r="D9" s="7" t="e">
        <f aca="true">INDIRECT("'Ответы на форму (1)'!D"&amp;$L9,TRUE())</f>
        <v>#REF!</v>
      </c>
      <c r="E9" s="7" t="n">
        <f aca="false">IFERROR(__xludf.dummyfunction("iferror(VALUE(REGEXEXTRACT(TEXT(INDIRECT(""'Ответы на форму (1)'!E""&amp;$L9,TRUE),""####""),""[0-9]+"")),INDIRECT(""'Ответы на форму (1)'!E""&amp;$L9,TRUE))"),149)</f>
        <v>149</v>
      </c>
      <c r="F9" s="7" t="e">
        <f aca="true">INDIRECT("'Ответы на форму (1)'!F"&amp;$L9,TRUE())</f>
        <v>#REF!</v>
      </c>
      <c r="G9" s="8" t="e">
        <f aca="true">IFERROR(MID(INDIRECT("'Ответы на форму (1)'!G"&amp;$L9,TRUE()),SEARCH("vk.com",INDIRECT("'Ответы на форму (1)'!G"&amp;$L9,TRUE())),LEN(INDIRECT("'Ответы на форму (1)'!G"&amp;$L9,TRUE()))),INDIRECT("'Ответы на форму (1)'!G"&amp;$L9,TRUE()))</f>
        <v>#REF!</v>
      </c>
      <c r="H9" s="7" t="e">
        <f aca="true">INDIRECT("'Ответы на форму (1)'!H"&amp;$L9,TRUE())</f>
        <v>#REF!</v>
      </c>
      <c r="I9" s="7" t="e">
        <f aca="true">INDIRECT("'Ответы на форму (1)'!I"&amp;$L9,TRUE())</f>
        <v>#REF!</v>
      </c>
      <c r="J9" s="7" t="e">
        <f aca="true">INDIRECT("'Ответы на форму (1)'!J"&amp;$L9,TRUE())</f>
        <v>#REF!</v>
      </c>
      <c r="K9" s="7" t="e">
        <f aca="false" t="array" ref="K9:K9">IF(COUNTIF(concat(TRIM('Список прошлого года'!$B$2:$B$200),TRIM('Список прошлого года'!$C$2:$C$200)),concat(TRIM(B9),TRIM(C9))) &gt; 0,"Да","Нет")</f>
        <v>#NAME?</v>
      </c>
      <c r="L9" s="5" t="n">
        <v>10</v>
      </c>
      <c r="M9" s="5" t="n">
        <v>2</v>
      </c>
      <c r="N9" s="7"/>
      <c r="O9" s="7" t="s">
        <v>29</v>
      </c>
      <c r="P9" s="7"/>
      <c r="Q9" s="9" t="n">
        <v>1</v>
      </c>
      <c r="R9" s="10" t="n">
        <v>1</v>
      </c>
      <c r="S9" s="10" t="n">
        <v>1</v>
      </c>
      <c r="T9" s="10" t="n">
        <v>1</v>
      </c>
      <c r="U9" s="10" t="n">
        <v>1</v>
      </c>
      <c r="V9" s="7"/>
      <c r="W9" s="7"/>
      <c r="X9" s="7"/>
      <c r="Y9" s="7"/>
      <c r="Z9" s="7"/>
    </row>
    <row r="10" customFormat="false" ht="15.75" hidden="false" customHeight="false" outlineLevel="0" collapsed="false">
      <c r="A10" s="6" t="e">
        <f aca="true">INDIRECT("'Ответы на форму (1)'!A"&amp;$L10,TRUE())</f>
        <v>#REF!</v>
      </c>
      <c r="B10" s="7" t="e">
        <f aca="true">INDIRECT("'Ответы на форму (1)'!B"&amp;$L10,TRUE())</f>
        <v>#REF!</v>
      </c>
      <c r="C10" s="7" t="e">
        <f aca="true">INDIRECT("'Ответы на форму (1)'!C"&amp;$L10,TRUE())</f>
        <v>#REF!</v>
      </c>
      <c r="D10" s="7" t="e">
        <f aca="true">INDIRECT("'Ответы на форму (1)'!D"&amp;$L10,TRUE())</f>
        <v>#REF!</v>
      </c>
      <c r="E10" s="7" t="n">
        <f aca="false">IFERROR(__xludf.dummyfunction("iferror(VALUE(REGEXEXTRACT(TEXT(INDIRECT(""'Ответы на форму (1)'!E""&amp;$L10,TRUE),""####""),""[0-9]+"")),INDIRECT(""'Ответы на форму (1)'!E""&amp;$L10,TRUE))"),117)</f>
        <v>117</v>
      </c>
      <c r="F10" s="7" t="e">
        <f aca="true">INDIRECT("'Ответы на форму (1)'!F"&amp;$L10,TRUE())</f>
        <v>#REF!</v>
      </c>
      <c r="G10" s="8" t="e">
        <f aca="true">IFERROR(MID(INDIRECT("'Ответы на форму (1)'!G"&amp;$L10,TRUE()),SEARCH("vk.com",INDIRECT("'Ответы на форму (1)'!G"&amp;$L10,TRUE())),LEN(INDIRECT("'Ответы на форму (1)'!G"&amp;$L10,TRUE()))),INDIRECT("'Ответы на форму (1)'!G"&amp;$L10,TRUE()))</f>
        <v>#REF!</v>
      </c>
      <c r="H10" s="7" t="e">
        <f aca="true">INDIRECT("'Ответы на форму (1)'!H"&amp;$L10,TRUE())</f>
        <v>#REF!</v>
      </c>
      <c r="I10" s="7" t="e">
        <f aca="true">INDIRECT("'Ответы на форму (1)'!I"&amp;$L10,TRUE())</f>
        <v>#REF!</v>
      </c>
      <c r="J10" s="7" t="e">
        <f aca="true">INDIRECT("'Ответы на форму (1)'!J"&amp;$L10,TRUE())</f>
        <v>#REF!</v>
      </c>
      <c r="K10" s="7" t="e">
        <f aca="false" t="array" ref="K10:K10">IF(COUNTIF(concat(TRIM('Список прошлого года'!$B$2:$B$200),TRIM('Список прошлого года'!$C$2:$C$200)),concat(TRIM(B10),TRIM(C10))) &gt; 0,"Да","Нет")</f>
        <v>#NAME?</v>
      </c>
      <c r="L10" s="5" t="n">
        <v>12</v>
      </c>
      <c r="M10" s="5" t="n">
        <v>1</v>
      </c>
      <c r="N10" s="7"/>
      <c r="O10" s="7" t="s">
        <v>70</v>
      </c>
      <c r="P10" s="7"/>
      <c r="Q10" s="9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7"/>
      <c r="W10" s="7"/>
      <c r="X10" s="7"/>
      <c r="Y10" s="7"/>
      <c r="Z10" s="7"/>
    </row>
    <row r="11" customFormat="false" ht="15.75" hidden="false" customHeight="false" outlineLevel="0" collapsed="false">
      <c r="A11" s="11" t="e">
        <f aca="true">INDIRECT("'Ответы на форму (1)'!A"&amp;$L11,TRUE())</f>
        <v>#REF!</v>
      </c>
      <c r="B11" s="0" t="e">
        <f aca="true">INDIRECT("'Ответы на форму (1)'!B"&amp;$L11,TRUE())</f>
        <v>#REF!</v>
      </c>
      <c r="C11" s="0" t="e">
        <f aca="true">INDIRECT("'Ответы на форму (1)'!C"&amp;$L11,TRUE())</f>
        <v>#REF!</v>
      </c>
      <c r="D11" s="0" t="e">
        <f aca="true">INDIRECT("'Ответы на форму (1)'!D"&amp;$L11,TRUE())</f>
        <v>#REF!</v>
      </c>
      <c r="E11" s="0" t="n">
        <f aca="false">IFERROR(__xludf.dummyfunction("iferror(VALUE(REGEXEXTRACT(TEXT(INDIRECT(""'Ответы на форму (1)'!E""&amp;$L11,TRUE),""####""),""[0-9]+"")),INDIRECT(""'Ответы на форму (1)'!E""&amp;$L11,TRUE))"),117)</f>
        <v>117</v>
      </c>
      <c r="F11" s="0" t="e">
        <f aca="true">INDIRECT("'Ответы на форму (1)'!F"&amp;$L11,TRUE())</f>
        <v>#REF!</v>
      </c>
      <c r="G11" s="12" t="e">
        <f aca="true">IFERROR(MID(INDIRECT("'Ответы на форму (1)'!G"&amp;$L11,TRUE()),SEARCH("vk.com",INDIRECT("'Ответы на форму (1)'!G"&amp;$L11,TRUE())),LEN(INDIRECT("'Ответы на форму (1)'!G"&amp;$L11,TRUE()))),INDIRECT("'Ответы на форму (1)'!G"&amp;$L11,TRUE()))</f>
        <v>#REF!</v>
      </c>
      <c r="I11" s="0" t="e">
        <f aca="true">INDIRECT("'Ответы на форму (1)'!I"&amp;$L11,TRUE())</f>
        <v>#REF!</v>
      </c>
      <c r="J11" s="0" t="e">
        <f aca="true">INDIRECT("'Ответы на форму (1)'!J"&amp;$L11,TRUE())</f>
        <v>#REF!</v>
      </c>
      <c r="K11" s="0" t="e">
        <f aca="false" t="array" ref="K11:K11">IF(COUNTIF(concat(TRIM('Список прошлого года'!$B$2:$B$200),TRIM('Список прошлого года'!$C$2:$C$200)),concat(TRIM(B11),TRIM(C11))) &gt; 0,"Да","Нет")</f>
        <v>#NAME?</v>
      </c>
      <c r="L11" s="1" t="n">
        <v>11</v>
      </c>
      <c r="M11" s="1" t="n">
        <v>2</v>
      </c>
      <c r="O11" s="1" t="s">
        <v>14</v>
      </c>
      <c r="Q11" s="9" t="n">
        <v>1</v>
      </c>
      <c r="R11" s="10" t="n">
        <v>1</v>
      </c>
      <c r="S11" s="10" t="n">
        <v>1</v>
      </c>
      <c r="T11" s="10" t="n">
        <v>1</v>
      </c>
      <c r="U11" s="10" t="n">
        <v>0</v>
      </c>
    </row>
    <row r="12" customFormat="false" ht="15.75" hidden="false" customHeight="false" outlineLevel="0" collapsed="false">
      <c r="A12" s="11" t="e">
        <f aca="true">INDIRECT("'Ответы на форму (1)'!A"&amp;$L12,TRUE())</f>
        <v>#REF!</v>
      </c>
      <c r="B12" s="0" t="e">
        <f aca="true">INDIRECT("'Ответы на форму (1)'!B"&amp;$L12,TRUE())</f>
        <v>#REF!</v>
      </c>
      <c r="C12" s="0" t="e">
        <f aca="true">INDIRECT("'Ответы на форму (1)'!C"&amp;$L12,TRUE())</f>
        <v>#REF!</v>
      </c>
      <c r="D12" s="0" t="e">
        <f aca="true">INDIRECT("'Ответы на форму (1)'!D"&amp;$L12,TRUE())</f>
        <v>#REF!</v>
      </c>
      <c r="E12" s="0" t="n">
        <f aca="false">IFERROR(__xludf.dummyfunction("iferror(VALUE(REGEXEXTRACT(TEXT(INDIRECT(""'Ответы на форму (1)'!E""&amp;$L12,TRUE),""####""),""[0-9]+"")),INDIRECT(""'Ответы на форму (1)'!E""&amp;$L12,TRUE))"),117)</f>
        <v>117</v>
      </c>
      <c r="F12" s="0" t="e">
        <f aca="true">INDIRECT("'Ответы на форму (1)'!F"&amp;$L12,TRUE())</f>
        <v>#REF!</v>
      </c>
      <c r="G12" s="12" t="e">
        <f aca="true">IFERROR(MID(INDIRECT("'Ответы на форму (1)'!G"&amp;$L12,TRUE()),SEARCH("vk.com",INDIRECT("'Ответы на форму (1)'!G"&amp;$L12,TRUE())),LEN(INDIRECT("'Ответы на форму (1)'!G"&amp;$L12,TRUE()))),INDIRECT("'Ответы на форму (1)'!G"&amp;$L12,TRUE()))</f>
        <v>#REF!</v>
      </c>
      <c r="H12" s="0" t="e">
        <f aca="true">INDIRECT("'Ответы на форму (1)'!H"&amp;$L12,TRUE())</f>
        <v>#REF!</v>
      </c>
      <c r="I12" s="0" t="e">
        <f aca="true">INDIRECT("'Ответы на форму (1)'!I"&amp;$L12,TRUE())</f>
        <v>#REF!</v>
      </c>
      <c r="J12" s="0" t="e">
        <f aca="true">INDIRECT("'Ответы на форму (1)'!J"&amp;$L12,TRUE())</f>
        <v>#REF!</v>
      </c>
      <c r="K12" s="0" t="e">
        <f aca="false" t="array" ref="K12:K12">IF(COUNTIF(concat(TRIM('Список прошлого года'!$B$2:$B$200),TRIM('Список прошлого года'!$C$2:$C$200)),concat(TRIM(B12),TRIM(C12))) &gt; 0,"Да","Нет")</f>
        <v>#NAME?</v>
      </c>
      <c r="L12" s="1" t="n">
        <v>14</v>
      </c>
      <c r="M12" s="1" t="n">
        <v>2</v>
      </c>
      <c r="O12" s="0" t="s">
        <v>80</v>
      </c>
      <c r="Q12" s="1" t="n">
        <v>0</v>
      </c>
      <c r="R12" s="1" t="n">
        <v>0</v>
      </c>
      <c r="S12" s="1" t="n">
        <v>1</v>
      </c>
      <c r="T12" s="1" t="n">
        <v>1</v>
      </c>
      <c r="U12" s="1" t="n">
        <v>1</v>
      </c>
    </row>
    <row r="13" customFormat="false" ht="15.75" hidden="false" customHeight="false" outlineLevel="0" collapsed="false">
      <c r="A13" s="11" t="e">
        <f aca="true">INDIRECT("'Ответы на форму (1)'!A"&amp;$L13,TRUE())</f>
        <v>#REF!</v>
      </c>
      <c r="B13" s="0" t="e">
        <f aca="true">INDIRECT("'Ответы на форму (1)'!B"&amp;$L13,TRUE())</f>
        <v>#REF!</v>
      </c>
      <c r="C13" s="0" t="e">
        <f aca="true">INDIRECT("'Ответы на форму (1)'!C"&amp;$L13,TRUE())</f>
        <v>#REF!</v>
      </c>
      <c r="D13" s="0" t="e">
        <f aca="true">INDIRECT("'Ответы на форму (1)'!D"&amp;$L13,TRUE())</f>
        <v>#REF!</v>
      </c>
      <c r="E13" s="0" t="n">
        <f aca="false">IFERROR(__xludf.dummyfunction("iferror(VALUE(REGEXEXTRACT(TEXT(INDIRECT(""'Ответы на форму (1)'!E""&amp;$L13,TRUE),""####""),""[0-9]+"")),INDIRECT(""'Ответы на форму (1)'!E""&amp;$L13,TRUE))"),117)</f>
        <v>117</v>
      </c>
      <c r="F13" s="0" t="e">
        <f aca="true">INDIRECT("'Ответы на форму (1)'!F"&amp;$L13,TRUE())</f>
        <v>#REF!</v>
      </c>
      <c r="G13" s="0" t="e">
        <f aca="true">IFERROR(MID(INDIRECT("'Ответы на форму (1)'!G"&amp;$L13,TRUE()),SEARCH("vk.com",INDIRECT("'Ответы на форму (1)'!G"&amp;$L13,TRUE())),LEN(INDIRECT("'Ответы на форму (1)'!G"&amp;$L13,TRUE()))),INDIRECT("'Ответы на форму (1)'!G"&amp;$L13,TRUE()))</f>
        <v>#REF!</v>
      </c>
      <c r="H13" s="0" t="e">
        <f aca="true">INDIRECT("'Ответы на форму (1)'!H"&amp;$L13,TRUE())</f>
        <v>#REF!</v>
      </c>
      <c r="I13" s="0" t="e">
        <f aca="true">INDIRECT("'Ответы на форму (1)'!I"&amp;$L13,TRUE())</f>
        <v>#REF!</v>
      </c>
      <c r="J13" s="0" t="e">
        <f aca="true">INDIRECT("'Ответы на форму (1)'!J"&amp;$L13,TRUE())</f>
        <v>#REF!</v>
      </c>
      <c r="K13" s="0" t="e">
        <f aca="false" t="array" ref="K13:K13">IF(COUNTIF(concat(TRIM('Список прошлого года'!$B$2:$B$200),TRIM('Список прошлого года'!$C$2:$C$200)),concat(TRIM(B13),TRIM(C13))) &gt; 0,"Да","Нет")</f>
        <v>#NAME?</v>
      </c>
      <c r="L13" s="1" t="n">
        <v>13</v>
      </c>
      <c r="M13" s="1" t="n">
        <v>2</v>
      </c>
      <c r="O13" s="1" t="s">
        <v>14</v>
      </c>
      <c r="Q13" s="9" t="n">
        <v>1</v>
      </c>
      <c r="R13" s="10" t="n">
        <v>1</v>
      </c>
      <c r="S13" s="10" t="n">
        <v>0</v>
      </c>
      <c r="T13" s="10" t="n">
        <v>0</v>
      </c>
      <c r="U13" s="10" t="n">
        <v>1</v>
      </c>
    </row>
    <row r="14" customFormat="false" ht="15.75" hidden="false" customHeight="false" outlineLevel="0" collapsed="false">
      <c r="A14" s="6" t="e">
        <f aca="true">INDIRECT("'Ответы на форму (1)'!A"&amp;$L14,TRUE())</f>
        <v>#REF!</v>
      </c>
      <c r="B14" s="7" t="e">
        <f aca="true">INDIRECT("'Ответы на форму (1)'!B"&amp;$L14,TRUE())</f>
        <v>#REF!</v>
      </c>
      <c r="C14" s="7" t="e">
        <f aca="true">INDIRECT("'Ответы на форму (1)'!C"&amp;$L14,TRUE())</f>
        <v>#REF!</v>
      </c>
      <c r="D14" s="7" t="e">
        <f aca="true">INDIRECT("'Ответы на форму (1)'!D"&amp;$L14,TRUE())</f>
        <v>#REF!</v>
      </c>
      <c r="E14" s="7" t="n">
        <f aca="false">IFERROR(__xludf.dummyfunction("iferror(VALUE(REGEXEXTRACT(TEXT(INDIRECT(""'Ответы на форму (1)'!E""&amp;$L14,TRUE),""####""),""[0-9]+"")),INDIRECT(""'Ответы на форму (1)'!E""&amp;$L14,TRUE))"),117)</f>
        <v>117</v>
      </c>
      <c r="F14" s="7" t="e">
        <f aca="true">INDIRECT("'Ответы на форму (1)'!F"&amp;$L14,TRUE())</f>
        <v>#REF!</v>
      </c>
      <c r="G14" s="8" t="e">
        <f aca="true">IFERROR(MID(INDIRECT("'Ответы на форму (1)'!G"&amp;$L14,TRUE()),SEARCH("vk.com",INDIRECT("'Ответы на форму (1)'!G"&amp;$L14,TRUE())),LEN(INDIRECT("'Ответы на форму (1)'!G"&amp;$L14,TRUE()))),INDIRECT("'Ответы на форму (1)'!G"&amp;$L14,TRUE()))</f>
        <v>#REF!</v>
      </c>
      <c r="H14" s="7" t="e">
        <f aca="true">INDIRECT("'Ответы на форму (1)'!H"&amp;$L14,TRUE())</f>
        <v>#REF!</v>
      </c>
      <c r="I14" s="7" t="e">
        <f aca="true">INDIRECT("'Ответы на форму (1)'!I"&amp;$L14,TRUE())</f>
        <v>#REF!</v>
      </c>
      <c r="J14" s="7" t="e">
        <f aca="true">INDIRECT("'Ответы на форму (1)'!J"&amp;$L14,TRUE())</f>
        <v>#REF!</v>
      </c>
      <c r="K14" s="7" t="e">
        <f aca="false" t="array" ref="K14:K14">IF(COUNTIF(concat(TRIM('Список прошлого года'!$B$2:$B$200),TRIM('Список прошлого года'!$C$2:$C$200)),concat(TRIM(B14),TRIM(C14))) &gt; 0,"Да","Нет")</f>
        <v>#NAME?</v>
      </c>
      <c r="L14" s="5" t="n">
        <v>15</v>
      </c>
      <c r="M14" s="5" t="n">
        <v>2</v>
      </c>
      <c r="N14" s="7"/>
      <c r="O14" s="7" t="s">
        <v>50</v>
      </c>
      <c r="P14" s="7"/>
      <c r="Q14" s="9" t="n">
        <v>1</v>
      </c>
      <c r="R14" s="10" t="n">
        <v>1</v>
      </c>
      <c r="S14" s="10" t="n">
        <v>1</v>
      </c>
      <c r="T14" s="10" t="n">
        <v>1</v>
      </c>
      <c r="U14" s="10" t="n">
        <v>1</v>
      </c>
      <c r="V14" s="7"/>
      <c r="W14" s="7"/>
      <c r="X14" s="7"/>
      <c r="Y14" s="7"/>
      <c r="Z14" s="7"/>
    </row>
    <row r="15" customFormat="false" ht="15.75" hidden="false" customHeight="false" outlineLevel="0" collapsed="false">
      <c r="A15" s="11" t="e">
        <f aca="true">INDIRECT("'Ответы на форму (1)'!A"&amp;$L15,TRUE())</f>
        <v>#REF!</v>
      </c>
      <c r="B15" s="0" t="e">
        <f aca="true">INDIRECT("'Ответы на форму (1)'!B"&amp;$L15,TRUE())</f>
        <v>#REF!</v>
      </c>
      <c r="C15" s="0" t="e">
        <f aca="true">INDIRECT("'Ответы на форму (1)'!C"&amp;$L15,TRUE())</f>
        <v>#REF!</v>
      </c>
      <c r="D15" s="0" t="e">
        <f aca="true">INDIRECT("'Ответы на форму (1)'!D"&amp;$L15,TRUE())</f>
        <v>#REF!</v>
      </c>
      <c r="E15" s="0" t="n">
        <f aca="false">IFERROR(__xludf.dummyfunction("iferror(VALUE(REGEXEXTRACT(TEXT(INDIRECT(""'Ответы на форму (1)'!E""&amp;$L15,TRUE),""####""),""[0-9]+"")),INDIRECT(""'Ответы на форму (1)'!E""&amp;$L15,TRUE))"),117)</f>
        <v>117</v>
      </c>
      <c r="F15" s="0" t="e">
        <f aca="true">INDIRECT("'Ответы на форму (1)'!F"&amp;$L15,TRUE())</f>
        <v>#REF!</v>
      </c>
      <c r="G15" s="12" t="e">
        <f aca="true">IFERROR(MID(INDIRECT("'Ответы на форму (1)'!G"&amp;$L15,TRUE()),SEARCH("vk.com",INDIRECT("'Ответы на форму (1)'!G"&amp;$L15,TRUE())),LEN(INDIRECT("'Ответы на форму (1)'!G"&amp;$L15,TRUE()))),INDIRECT("'Ответы на форму (1)'!G"&amp;$L15,TRUE()))</f>
        <v>#REF!</v>
      </c>
      <c r="H15" s="0" t="e">
        <f aca="true">INDIRECT("'Ответы на форму (1)'!H"&amp;$L15,TRUE())</f>
        <v>#REF!</v>
      </c>
      <c r="I15" s="0" t="e">
        <f aca="true">INDIRECT("'Ответы на форму (1)'!I"&amp;$L15,TRUE())</f>
        <v>#REF!</v>
      </c>
      <c r="J15" s="0" t="e">
        <f aca="true">INDIRECT("'Ответы на форму (1)'!J"&amp;$L15,TRUE())</f>
        <v>#REF!</v>
      </c>
      <c r="K15" s="0" t="e">
        <f aca="false" t="array" ref="K15:K15">IF(COUNTIF(concat(TRIM('Список прошлого года'!$B$2:$B$200),TRIM('Список прошлого года'!$C$2:$C$200)),concat(TRIM(B15),TRIM(C15))) &gt; 0,"Да","Нет")</f>
        <v>#NAME?</v>
      </c>
      <c r="L15" s="1" t="n">
        <v>16</v>
      </c>
      <c r="M15" s="1" t="n">
        <v>2</v>
      </c>
      <c r="O15" s="1" t="s">
        <v>14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</row>
    <row r="16" customFormat="false" ht="15.75" hidden="false" customHeight="false" outlineLevel="0" collapsed="false">
      <c r="A16" s="11" t="e">
        <f aca="true">INDIRECT("'Ответы на форму (1)'!A"&amp;$L16,TRUE())</f>
        <v>#REF!</v>
      </c>
      <c r="B16" s="0" t="e">
        <f aca="true">INDIRECT("'Ответы на форму (1)'!B"&amp;$L16,TRUE())</f>
        <v>#REF!</v>
      </c>
      <c r="C16" s="0" t="e">
        <f aca="true">INDIRECT("'Ответы на форму (1)'!C"&amp;$L16,TRUE())</f>
        <v>#REF!</v>
      </c>
      <c r="D16" s="0" t="e">
        <f aca="true">INDIRECT("'Ответы на форму (1)'!D"&amp;$L16,TRUE())</f>
        <v>#REF!</v>
      </c>
      <c r="E16" s="0" t="n">
        <f aca="false">IFERROR(__xludf.dummyfunction("iferror(VALUE(REGEXEXTRACT(TEXT(INDIRECT(""'Ответы на форму (1)'!E""&amp;$L16,TRUE),""####""),""[0-9]+"")),INDIRECT(""'Ответы на форму (1)'!E""&amp;$L16,TRUE))"),34)</f>
        <v>34</v>
      </c>
      <c r="F16" s="0" t="e">
        <f aca="true">INDIRECT("'Ответы на форму (1)'!F"&amp;$L16,TRUE())</f>
        <v>#REF!</v>
      </c>
      <c r="G16" s="12" t="e">
        <f aca="true">IFERROR(MID(INDIRECT("'Ответы на форму (1)'!G"&amp;$L16,TRUE()),SEARCH("vk.com",INDIRECT("'Ответы на форму (1)'!G"&amp;$L16,TRUE())),LEN(INDIRECT("'Ответы на форму (1)'!G"&amp;$L16,TRUE()))),INDIRECT("'Ответы на форму (1)'!G"&amp;$L16,TRUE()))</f>
        <v>#REF!</v>
      </c>
      <c r="H16" s="0" t="e">
        <f aca="true">INDIRECT("'Ответы на форму (1)'!H"&amp;$L16,TRUE())</f>
        <v>#REF!</v>
      </c>
      <c r="I16" s="0" t="e">
        <f aca="true">INDIRECT("'Ответы на форму (1)'!I"&amp;$L16,TRUE())</f>
        <v>#REF!</v>
      </c>
      <c r="J16" s="0" t="e">
        <f aca="true">INDIRECT("'Ответы на форму (1)'!J"&amp;$L16,TRUE())</f>
        <v>#REF!</v>
      </c>
      <c r="K16" s="0" t="e">
        <f aca="false" t="array" ref="K16:K16">IF(COUNTIF(concat(TRIM('Список прошлого года'!$B$2:$B$200),TRIM('Список прошлого года'!$C$2:$C$200)),concat(TRIM(B16),TRIM(C16))) &gt; 0,"Да","Нет")</f>
        <v>#NAME?</v>
      </c>
      <c r="L16" s="1" t="n">
        <v>17</v>
      </c>
      <c r="M16" s="1" t="n">
        <v>2</v>
      </c>
      <c r="O16" s="1" t="s">
        <v>15</v>
      </c>
      <c r="Q16" s="1" t="n">
        <v>1</v>
      </c>
      <c r="R16" s="1" t="n">
        <v>0</v>
      </c>
      <c r="S16" s="1" t="n">
        <v>1</v>
      </c>
      <c r="T16" s="1" t="n">
        <v>1</v>
      </c>
      <c r="U16" s="1" t="n">
        <v>1</v>
      </c>
    </row>
    <row r="17" customFormat="false" ht="15.75" hidden="false" customHeight="false" outlineLevel="0" collapsed="false">
      <c r="A17" s="6" t="e">
        <f aca="true">INDIRECT("'Ответы на форму (1)'!A"&amp;$L17,TRUE())</f>
        <v>#REF!</v>
      </c>
      <c r="B17" s="7" t="e">
        <f aca="true">INDIRECT("'Ответы на форму (1)'!B"&amp;$L17,TRUE())</f>
        <v>#REF!</v>
      </c>
      <c r="C17" s="7" t="e">
        <f aca="true">INDIRECT("'Ответы на форму (1)'!C"&amp;$L17,TRUE())</f>
        <v>#REF!</v>
      </c>
      <c r="D17" s="7" t="e">
        <f aca="true">INDIRECT("'Ответы на форму (1)'!D"&amp;$L17,TRUE())</f>
        <v>#REF!</v>
      </c>
      <c r="E17" s="7" t="n">
        <f aca="false">IFERROR(__xludf.dummyfunction("iferror(VALUE(REGEXEXTRACT(TEXT(INDIRECT(""'Ответы на форму (1)'!E""&amp;$L17,TRUE),""####""),""[0-9]+"")),INDIRECT(""'Ответы на форму (1)'!E""&amp;$L17,TRUE))"),117)</f>
        <v>117</v>
      </c>
      <c r="F17" s="7" t="e">
        <f aca="true">INDIRECT("'Ответы на форму (1)'!F"&amp;$L17,TRUE())</f>
        <v>#REF!</v>
      </c>
      <c r="G17" s="8" t="e">
        <f aca="true">IFERROR(MID(INDIRECT("'Ответы на форму (1)'!G"&amp;$L17,TRUE()),SEARCH("vk.com",INDIRECT("'Ответы на форму (1)'!G"&amp;$L17,TRUE())),LEN(INDIRECT("'Ответы на форму (1)'!G"&amp;$L17,TRUE()))),INDIRECT("'Ответы на форму (1)'!G"&amp;$L17,TRUE()))</f>
        <v>#REF!</v>
      </c>
      <c r="H17" s="7" t="e">
        <f aca="true">INDIRECT("'Ответы на форму (1)'!H"&amp;$L17,TRUE())</f>
        <v>#REF!</v>
      </c>
      <c r="I17" s="7" t="e">
        <f aca="true">INDIRECT("'Ответы на форму (1)'!I"&amp;$L17,TRUE())</f>
        <v>#REF!</v>
      </c>
      <c r="J17" s="7" t="e">
        <f aca="true">INDIRECT("'Ответы на форму (1)'!J"&amp;$L17,TRUE())</f>
        <v>#REF!</v>
      </c>
      <c r="K17" s="7" t="e">
        <f aca="false" t="array" ref="K17:K17">IF(COUNTIF(concat(TRIM('Список прошлого года'!$B$2:$B$200),TRIM('Список прошлого года'!$C$2:$C$200)),concat(TRIM(B17),TRIM(C17))) &gt; 0,"Да","Нет")</f>
        <v>#NAME?</v>
      </c>
      <c r="L17" s="5" t="n">
        <v>18</v>
      </c>
      <c r="M17" s="5" t="n">
        <v>2</v>
      </c>
      <c r="N17" s="7"/>
      <c r="O17" s="0" t="s">
        <v>80</v>
      </c>
      <c r="P17" s="7"/>
      <c r="Q17" s="9" t="n">
        <v>1</v>
      </c>
      <c r="R17" s="10" t="n">
        <v>1</v>
      </c>
      <c r="S17" s="10" t="n">
        <v>1</v>
      </c>
      <c r="T17" s="10" t="n">
        <v>1</v>
      </c>
      <c r="U17" s="10" t="n">
        <v>1</v>
      </c>
      <c r="V17" s="7"/>
      <c r="W17" s="7"/>
      <c r="X17" s="7"/>
      <c r="Y17" s="7"/>
      <c r="Z17" s="7"/>
    </row>
    <row r="18" customFormat="false" ht="15.75" hidden="false" customHeight="false" outlineLevel="0" collapsed="false">
      <c r="A18" s="11" t="e">
        <f aca="true">INDIRECT("'Ответы на форму (1)'!A"&amp;$L18,TRUE())</f>
        <v>#REF!</v>
      </c>
      <c r="B18" s="0" t="e">
        <f aca="true">INDIRECT("'Ответы на форму (1)'!B"&amp;$L18,TRUE())</f>
        <v>#REF!</v>
      </c>
      <c r="C18" s="0" t="e">
        <f aca="true">INDIRECT("'Ответы на форму (1)'!C"&amp;$L18,TRUE())</f>
        <v>#REF!</v>
      </c>
      <c r="D18" s="0" t="e">
        <f aca="true">INDIRECT("'Ответы на форму (1)'!D"&amp;$L18,TRUE())</f>
        <v>#REF!</v>
      </c>
      <c r="E18" s="0" t="n">
        <f aca="false">IFERROR(__xludf.dummyfunction("iferror(VALUE(REGEXEXTRACT(TEXT(INDIRECT(""'Ответы на форму (1)'!E""&amp;$L18,TRUE),""####""),""[0-9]+"")),INDIRECT(""'Ответы на форму (1)'!E""&amp;$L18,TRUE))"),117)</f>
        <v>117</v>
      </c>
      <c r="F18" s="0" t="e">
        <f aca="true">INDIRECT("'Ответы на форму (1)'!F"&amp;$L18,TRUE())</f>
        <v>#REF!</v>
      </c>
      <c r="G18" s="0" t="e">
        <f aca="true">IFERROR(MID(INDIRECT("'Ответы на форму (1)'!G"&amp;$L18,TRUE()),SEARCH("vk.com",INDIRECT("'Ответы на форму (1)'!G"&amp;$L18,TRUE())),LEN(INDIRECT("'Ответы на форму (1)'!G"&amp;$L18,TRUE()))),INDIRECT("'Ответы на форму (1)'!G"&amp;$L18,TRUE()))</f>
        <v>#REF!</v>
      </c>
      <c r="H18" s="0" t="e">
        <f aca="true">INDIRECT("'Ответы на форму (1)'!H"&amp;$L18,TRUE())</f>
        <v>#REF!</v>
      </c>
      <c r="I18" s="0" t="e">
        <f aca="true">INDIRECT("'Ответы на форму (1)'!I"&amp;$L18,TRUE())</f>
        <v>#REF!</v>
      </c>
      <c r="J18" s="0" t="e">
        <f aca="true">INDIRECT("'Ответы на форму (1)'!J"&amp;$L18,TRUE())</f>
        <v>#REF!</v>
      </c>
      <c r="K18" s="0" t="e">
        <f aca="false" t="array" ref="K18:K18">IF(COUNTIF(concat(TRIM('Список прошлого года'!$B$2:$B$200),TRIM('Список прошлого года'!$C$2:$C$200)),concat(TRIM(B18),TRIM(C18))) &gt; 0,"Да","Нет")</f>
        <v>#NAME?</v>
      </c>
      <c r="L18" s="1" t="n">
        <v>19</v>
      </c>
      <c r="M18" s="1" t="n">
        <v>2</v>
      </c>
      <c r="N18" s="1" t="s">
        <v>687</v>
      </c>
      <c r="O18" s="0" t="s">
        <v>22</v>
      </c>
      <c r="Q18" s="1" t="n">
        <v>1</v>
      </c>
      <c r="R18" s="1" t="n">
        <v>1</v>
      </c>
      <c r="S18" s="1" t="n">
        <v>0</v>
      </c>
      <c r="T18" s="1" t="n">
        <v>0</v>
      </c>
      <c r="U18" s="1" t="n">
        <v>0</v>
      </c>
    </row>
    <row r="19" customFormat="false" ht="15.75" hidden="false" customHeight="false" outlineLevel="0" collapsed="false">
      <c r="A19" s="11" t="e">
        <f aca="true">INDIRECT("'Ответы на форму (1)'!A"&amp;$L19,TRUE())</f>
        <v>#REF!</v>
      </c>
      <c r="B19" s="0" t="e">
        <f aca="true">INDIRECT("'Ответы на форму (1)'!B"&amp;$L19,TRUE())</f>
        <v>#REF!</v>
      </c>
      <c r="C19" s="0" t="e">
        <f aca="true">INDIRECT("'Ответы на форму (1)'!C"&amp;$L19,TRUE())</f>
        <v>#REF!</v>
      </c>
      <c r="D19" s="0" t="e">
        <f aca="true">INDIRECT("'Ответы на форму (1)'!D"&amp;$L19,TRUE())</f>
        <v>#REF!</v>
      </c>
      <c r="E19" s="0" t="n">
        <f aca="false">IFERROR(__xludf.dummyfunction("iferror(VALUE(REGEXEXTRACT(TEXT(INDIRECT(""'Ответы на форму (1)'!E""&amp;$L19,TRUE),""####""),""[0-9]+"")),INDIRECT(""'Ответы на форму (1)'!E""&amp;$L19,TRUE))"),64)</f>
        <v>64</v>
      </c>
      <c r="F19" s="0" t="e">
        <f aca="true">INDIRECT("'Ответы на форму (1)'!F"&amp;$L19,TRUE())</f>
        <v>#REF!</v>
      </c>
      <c r="G19" s="12" t="e">
        <f aca="true">IFERROR(MID(INDIRECT("'Ответы на форму (1)'!G"&amp;$L19,TRUE()),SEARCH("vk.com",INDIRECT("'Ответы на форму (1)'!G"&amp;$L19,TRUE())),LEN(INDIRECT("'Ответы на форму (1)'!G"&amp;$L19,TRUE()))),INDIRECT("'Ответы на форму (1)'!G"&amp;$L19,TRUE()))</f>
        <v>#REF!</v>
      </c>
      <c r="H19" s="0" t="e">
        <f aca="true">INDIRECT("'Ответы на форму (1)'!H"&amp;$L19,TRUE())</f>
        <v>#REF!</v>
      </c>
      <c r="I19" s="0" t="e">
        <f aca="true">INDIRECT("'Ответы на форму (1)'!I"&amp;$L19,TRUE())</f>
        <v>#REF!</v>
      </c>
      <c r="J19" s="0" t="e">
        <f aca="true">INDIRECT("'Ответы на форму (1)'!J"&amp;$L19,TRUE())</f>
        <v>#REF!</v>
      </c>
      <c r="K19" s="0" t="e">
        <f aca="false" t="array" ref="K19:K19">IF(COUNTIF(concat(TRIM('Список прошлого года'!$B$2:$B$200),TRIM('Список прошлого года'!$C$2:$C$200)),concat(TRIM(B19),TRIM(C19))) &gt; 0,"Да","Нет")</f>
        <v>#NAME?</v>
      </c>
      <c r="L19" s="1" t="n">
        <v>21</v>
      </c>
      <c r="M19" s="1" t="n">
        <v>2</v>
      </c>
      <c r="O19" s="1" t="s">
        <v>14</v>
      </c>
      <c r="Q19" s="1" t="n">
        <v>0</v>
      </c>
      <c r="R19" s="1" t="n">
        <v>0</v>
      </c>
      <c r="S19" s="1" t="n">
        <v>0</v>
      </c>
      <c r="T19" s="1" t="n">
        <v>1</v>
      </c>
      <c r="U19" s="1" t="n">
        <v>0</v>
      </c>
    </row>
    <row r="20" customFormat="false" ht="15.75" hidden="false" customHeight="false" outlineLevel="0" collapsed="false">
      <c r="A20" s="6" t="e">
        <f aca="true">INDIRECT("'Ответы на форму (1)'!A"&amp;$L20,TRUE())</f>
        <v>#REF!</v>
      </c>
      <c r="B20" s="7" t="e">
        <f aca="true">INDIRECT("'Ответы на форму (1)'!B"&amp;$L20,TRUE())</f>
        <v>#REF!</v>
      </c>
      <c r="C20" s="7" t="e">
        <f aca="true">INDIRECT("'Ответы на форму (1)'!C"&amp;$L20,TRUE())</f>
        <v>#REF!</v>
      </c>
      <c r="D20" s="7" t="e">
        <f aca="true">INDIRECT("'Ответы на форму (1)'!D"&amp;$L20,TRUE())</f>
        <v>#REF!</v>
      </c>
      <c r="E20" s="7" t="n">
        <f aca="false">IFERROR(__xludf.dummyfunction("iferror(VALUE(REGEXEXTRACT(TEXT(INDIRECT(""'Ответы на форму (1)'!E""&amp;$L20,TRUE),""####""),""[0-9]+"")),INDIRECT(""'Ответы на форму (1)'!E""&amp;$L20,TRUE))"),64)</f>
        <v>64</v>
      </c>
      <c r="F20" s="7" t="e">
        <f aca="true">INDIRECT("'Ответы на форму (1)'!F"&amp;$L20,TRUE())</f>
        <v>#REF!</v>
      </c>
      <c r="G20" s="8" t="e">
        <f aca="true">IFERROR(MID(INDIRECT("'Ответы на форму (1)'!G"&amp;$L20,TRUE()),SEARCH("vk.com",INDIRECT("'Ответы на форму (1)'!G"&amp;$L20,TRUE())),LEN(INDIRECT("'Ответы на форму (1)'!G"&amp;$L20,TRUE()))),INDIRECT("'Ответы на форму (1)'!G"&amp;$L20,TRUE()))</f>
        <v>#REF!</v>
      </c>
      <c r="H20" s="7" t="e">
        <f aca="true">INDIRECT("'Ответы на форму (1)'!H"&amp;$L20,TRUE())</f>
        <v>#REF!</v>
      </c>
      <c r="I20" s="7" t="e">
        <f aca="true">INDIRECT("'Ответы на форму (1)'!I"&amp;$L20,TRUE())</f>
        <v>#REF!</v>
      </c>
      <c r="J20" s="7" t="e">
        <f aca="true">INDIRECT("'Ответы на форму (1)'!J"&amp;$L20,TRUE())</f>
        <v>#REF!</v>
      </c>
      <c r="K20" s="7" t="e">
        <f aca="false" t="array" ref="K20:K20">IF(COUNTIF(concat(TRIM('Список прошлого года'!$B$2:$B$200),TRIM('Список прошлого года'!$C$2:$C$200)),concat(TRIM(B20),TRIM(C20))) &gt; 0,"Да","Нет")</f>
        <v>#NAME?</v>
      </c>
      <c r="L20" s="5" t="n">
        <v>22</v>
      </c>
      <c r="M20" s="5" t="n">
        <v>2</v>
      </c>
      <c r="N20" s="7"/>
      <c r="O20" s="1" t="s">
        <v>14</v>
      </c>
      <c r="P20" s="7"/>
      <c r="Q20" s="9" t="n">
        <v>1</v>
      </c>
      <c r="R20" s="10" t="n">
        <v>1</v>
      </c>
      <c r="S20" s="10" t="n">
        <v>1</v>
      </c>
      <c r="T20" s="10" t="n">
        <v>1</v>
      </c>
      <c r="U20" s="10" t="n">
        <v>1</v>
      </c>
      <c r="V20" s="7"/>
      <c r="W20" s="7"/>
      <c r="X20" s="7"/>
      <c r="Y20" s="7"/>
      <c r="Z20" s="7"/>
    </row>
    <row r="21" customFormat="false" ht="15.75" hidden="false" customHeight="false" outlineLevel="0" collapsed="false">
      <c r="A21" s="11" t="e">
        <f aca="true">INDIRECT("'Ответы на форму (1)'!A"&amp;$L21,TRUE())</f>
        <v>#REF!</v>
      </c>
      <c r="B21" s="0" t="e">
        <f aca="true">INDIRECT("'Ответы на форму (1)'!B"&amp;$L21,TRUE())</f>
        <v>#REF!</v>
      </c>
      <c r="C21" s="0" t="e">
        <f aca="true">INDIRECT("'Ответы на форму (1)'!C"&amp;$L21,TRUE())</f>
        <v>#REF!</v>
      </c>
      <c r="D21" s="0" t="e">
        <f aca="true">INDIRECT("'Ответы на форму (1)'!D"&amp;$L21,TRUE())</f>
        <v>#REF!</v>
      </c>
      <c r="E21" s="0" t="n">
        <f aca="false">IFERROR(__xludf.dummyfunction("iferror(VALUE(REGEXEXTRACT(TEXT(INDIRECT(""'Ответы на форму (1)'!E""&amp;$L21,TRUE),""####""),""[0-9]+"")),INDIRECT(""'Ответы на форму (1)'!E""&amp;$L21,TRUE))"),149)</f>
        <v>149</v>
      </c>
      <c r="F21" s="0" t="e">
        <f aca="true">INDIRECT("'Ответы на форму (1)'!F"&amp;$L21,TRUE())</f>
        <v>#REF!</v>
      </c>
      <c r="G21" s="12" t="e">
        <f aca="true">IFERROR(MID(INDIRECT("'Ответы на форму (1)'!G"&amp;$L21,TRUE()),SEARCH("vk.com",INDIRECT("'Ответы на форму (1)'!G"&amp;$L21,TRUE())),LEN(INDIRECT("'Ответы на форму (1)'!G"&amp;$L21,TRUE()))),INDIRECT("'Ответы на форму (1)'!G"&amp;$L21,TRUE()))</f>
        <v>#REF!</v>
      </c>
      <c r="H21" s="0" t="e">
        <f aca="true">INDIRECT("'Ответы на форму (1)'!H"&amp;$L21,TRUE())</f>
        <v>#REF!</v>
      </c>
      <c r="I21" s="0" t="e">
        <f aca="true">INDIRECT("'Ответы на форму (1)'!I"&amp;$L21,TRUE())</f>
        <v>#REF!</v>
      </c>
      <c r="J21" s="0" t="e">
        <f aca="true">INDIRECT("'Ответы на форму (1)'!J"&amp;$L21,TRUE())</f>
        <v>#REF!</v>
      </c>
      <c r="K21" s="0" t="e">
        <f aca="false" t="array" ref="K21:K21">IF(COUNTIF(concat(TRIM('Список прошлого года'!$B$2:$B$200),TRIM('Список прошлого года'!$C$2:$C$200)),concat(TRIM(B21),TRIM(C21))) &gt; 0,"Да","Нет")</f>
        <v>#NAME?</v>
      </c>
      <c r="L21" s="1" t="n">
        <v>24</v>
      </c>
      <c r="M21" s="1" t="n">
        <v>-1</v>
      </c>
    </row>
    <row r="22" customFormat="false" ht="15.75" hidden="false" customHeight="false" outlineLevel="0" collapsed="false">
      <c r="A22" s="11" t="e">
        <f aca="true">INDIRECT("'Ответы на форму (1)'!A"&amp;$L22,TRUE())</f>
        <v>#REF!</v>
      </c>
      <c r="B22" s="0" t="e">
        <f aca="true">INDIRECT("'Ответы на форму (1)'!B"&amp;$L22,TRUE())</f>
        <v>#REF!</v>
      </c>
      <c r="C22" s="0" t="e">
        <f aca="true">INDIRECT("'Ответы на форму (1)'!C"&amp;$L22,TRUE())</f>
        <v>#REF!</v>
      </c>
      <c r="D22" s="0" t="e">
        <f aca="true">INDIRECT("'Ответы на форму (1)'!D"&amp;$L22,TRUE())</f>
        <v>#REF!</v>
      </c>
      <c r="E22" s="0" t="n">
        <f aca="false">IFERROR(__xludf.dummyfunction("iferror(VALUE(REGEXEXTRACT(TEXT(INDIRECT(""'Ответы на форму (1)'!E""&amp;$L22,TRUE),""####""),""[0-9]+"")),INDIRECT(""'Ответы на форму (1)'!E""&amp;$L22,TRUE))"),117)</f>
        <v>117</v>
      </c>
      <c r="F22" s="0" t="e">
        <f aca="true">INDIRECT("'Ответы на форму (1)'!F"&amp;$L22,TRUE())</f>
        <v>#REF!</v>
      </c>
      <c r="G22" s="12" t="e">
        <f aca="true">IFERROR(MID(INDIRECT("'Ответы на форму (1)'!G"&amp;$L22,TRUE()),SEARCH("vk.com",INDIRECT("'Ответы на форму (1)'!G"&amp;$L22,TRUE())),LEN(INDIRECT("'Ответы на форму (1)'!G"&amp;$L22,TRUE()))),INDIRECT("'Ответы на форму (1)'!G"&amp;$L22,TRUE()))</f>
        <v>#REF!</v>
      </c>
      <c r="H22" s="0" t="e">
        <f aca="true">INDIRECT("'Ответы на форму (1)'!H"&amp;$L22,TRUE())</f>
        <v>#REF!</v>
      </c>
      <c r="I22" s="0" t="e">
        <f aca="true">INDIRECT("'Ответы на форму (1)'!I"&amp;$L22,TRUE())</f>
        <v>#REF!</v>
      </c>
      <c r="J22" s="0" t="e">
        <f aca="true">INDIRECT("'Ответы на форму (1)'!J"&amp;$L22,TRUE())</f>
        <v>#REF!</v>
      </c>
      <c r="K22" s="0" t="e">
        <f aca="false" t="array" ref="K22:K22">IF(COUNTIF(concat(TRIM('Список прошлого года'!$B$2:$B$200),TRIM('Список прошлого года'!$C$2:$C$200)),concat(TRIM(B22),TRIM(C22))) &gt; 0,"Да","Нет")</f>
        <v>#NAME?</v>
      </c>
      <c r="L22" s="1" t="n">
        <v>25</v>
      </c>
      <c r="M22" s="1" t="n">
        <v>-1</v>
      </c>
    </row>
    <row r="23" customFormat="false" ht="15.75" hidden="false" customHeight="false" outlineLevel="0" collapsed="false">
      <c r="A23" s="6" t="e">
        <f aca="true">INDIRECT("'Ответы на форму (1)'!A"&amp;$L23,TRUE())</f>
        <v>#REF!</v>
      </c>
      <c r="B23" s="7" t="e">
        <f aca="true">INDIRECT("'Ответы на форму (1)'!B"&amp;$L23,TRUE())</f>
        <v>#REF!</v>
      </c>
      <c r="C23" s="7" t="e">
        <f aca="true">INDIRECT("'Ответы на форму (1)'!C"&amp;$L23,TRUE())</f>
        <v>#REF!</v>
      </c>
      <c r="D23" s="7" t="e">
        <f aca="true">INDIRECT("'Ответы на форму (1)'!D"&amp;$L23,TRUE())</f>
        <v>#REF!</v>
      </c>
      <c r="E23" s="7" t="n">
        <f aca="false">IFERROR(__xludf.dummyfunction("iferror(VALUE(REGEXEXTRACT(TEXT(INDIRECT(""'Ответы на форму (1)'!E""&amp;$L23,TRUE),""####""),""[0-9]+"")),INDIRECT(""'Ответы на форму (1)'!E""&amp;$L23,TRUE))"),64)</f>
        <v>64</v>
      </c>
      <c r="F23" s="7" t="e">
        <f aca="true">INDIRECT("'Ответы на форму (1)'!F"&amp;$L23,TRUE())</f>
        <v>#REF!</v>
      </c>
      <c r="G23" s="8" t="e">
        <f aca="true">IFERROR(MID(INDIRECT("'Ответы на форму (1)'!G"&amp;$L23,TRUE()),SEARCH("vk.com",INDIRECT("'Ответы на форму (1)'!G"&amp;$L23,TRUE())),LEN(INDIRECT("'Ответы на форму (1)'!G"&amp;$L23,TRUE()))),INDIRECT("'Ответы на форму (1)'!G"&amp;$L23,TRUE()))</f>
        <v>#REF!</v>
      </c>
      <c r="H23" s="7" t="e">
        <f aca="true">INDIRECT("'Ответы на форму (1)'!H"&amp;$L23,TRUE())</f>
        <v>#REF!</v>
      </c>
      <c r="I23" s="7" t="e">
        <f aca="true">INDIRECT("'Ответы на форму (1)'!I"&amp;$L23,TRUE())</f>
        <v>#REF!</v>
      </c>
      <c r="J23" s="7" t="e">
        <f aca="true">INDIRECT("'Ответы на форму (1)'!J"&amp;$L23,TRUE())</f>
        <v>#REF!</v>
      </c>
      <c r="K23" s="7" t="e">
        <f aca="false" t="array" ref="K23:K23">IF(COUNTIF(concat(TRIM('Список прошлого года'!$B$2:$B$200),TRIM('Список прошлого года'!$C$2:$C$200)),concat(TRIM(B23),TRIM(C23))) &gt; 0,"Да","Нет")</f>
        <v>#NAME?</v>
      </c>
      <c r="L23" s="5" t="n">
        <v>26</v>
      </c>
      <c r="M23" s="5" t="n">
        <v>2</v>
      </c>
      <c r="N23" s="7"/>
      <c r="O23" s="1" t="s">
        <v>14</v>
      </c>
      <c r="P23" s="7"/>
      <c r="Q23" s="9" t="n">
        <v>1</v>
      </c>
      <c r="R23" s="10" t="n">
        <v>1</v>
      </c>
      <c r="S23" s="10" t="n">
        <v>1</v>
      </c>
      <c r="T23" s="10" t="n">
        <v>1</v>
      </c>
      <c r="U23" s="10" t="n">
        <v>1</v>
      </c>
      <c r="V23" s="7"/>
      <c r="W23" s="7"/>
      <c r="X23" s="7"/>
      <c r="Y23" s="7"/>
      <c r="Z23" s="7"/>
    </row>
    <row r="24" customFormat="false" ht="15.75" hidden="false" customHeight="false" outlineLevel="0" collapsed="false">
      <c r="A24" s="6" t="e">
        <f aca="true">INDIRECT("'Ответы на форму (1)'!A"&amp;$L24,TRUE())</f>
        <v>#REF!</v>
      </c>
      <c r="B24" s="7" t="e">
        <f aca="true">INDIRECT("'Ответы на форму (1)'!B"&amp;$L24,TRUE())</f>
        <v>#REF!</v>
      </c>
      <c r="C24" s="7" t="e">
        <f aca="true">INDIRECT("'Ответы на форму (1)'!C"&amp;$L24,TRUE())</f>
        <v>#REF!</v>
      </c>
      <c r="D24" s="7" t="e">
        <f aca="true">INDIRECT("'Ответы на форму (1)'!D"&amp;$L24,TRUE())</f>
        <v>#REF!</v>
      </c>
      <c r="E24" s="7" t="n">
        <f aca="false">IFERROR(__xludf.dummyfunction("iferror(VALUE(REGEXEXTRACT(TEXT(INDIRECT(""'Ответы на форму (1)'!E""&amp;$L24,TRUE),""####""),""[0-9]+"")),INDIRECT(""'Ответы на форму (1)'!E""&amp;$L24,TRUE))"),149)</f>
        <v>149</v>
      </c>
      <c r="F24" s="7" t="e">
        <f aca="true">INDIRECT("'Ответы на форму (1)'!F"&amp;$L24,TRUE())</f>
        <v>#REF!</v>
      </c>
      <c r="G24" s="8" t="e">
        <f aca="true">IFERROR(MID(INDIRECT("'Ответы на форму (1)'!G"&amp;$L24,TRUE()),SEARCH("vk.com",INDIRECT("'Ответы на форму (1)'!G"&amp;$L24,TRUE())),LEN(INDIRECT("'Ответы на форму (1)'!G"&amp;$L24,TRUE()))),INDIRECT("'Ответы на форму (1)'!G"&amp;$L24,TRUE()))</f>
        <v>#REF!</v>
      </c>
      <c r="H24" s="7" t="e">
        <f aca="true">INDIRECT("'Ответы на форму (1)'!H"&amp;$L24,TRUE())</f>
        <v>#REF!</v>
      </c>
      <c r="I24" s="7" t="e">
        <f aca="true">INDIRECT("'Ответы на форму (1)'!I"&amp;$L24,TRUE())</f>
        <v>#REF!</v>
      </c>
      <c r="J24" s="7" t="e">
        <f aca="true">INDIRECT("'Ответы на форму (1)'!J"&amp;$L24,TRUE())</f>
        <v>#REF!</v>
      </c>
      <c r="K24" s="7" t="e">
        <f aca="false" t="array" ref="K24:K24">IF(COUNTIF(concat(TRIM('Список прошлого года'!$B$2:$B$200),TRIM('Список прошлого года'!$C$2:$C$200)),concat(TRIM(B24),TRIM(C24))) &gt; 0,"Да","Нет")</f>
        <v>#NAME?</v>
      </c>
      <c r="L24" s="5" t="n">
        <v>28</v>
      </c>
      <c r="M24" s="5" t="n">
        <v>2</v>
      </c>
      <c r="N24" s="7"/>
      <c r="O24" s="1" t="s">
        <v>14</v>
      </c>
      <c r="P24" s="7"/>
      <c r="Q24" s="9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7"/>
      <c r="W24" s="7"/>
      <c r="X24" s="7"/>
      <c r="Y24" s="7"/>
      <c r="Z24" s="7"/>
    </row>
    <row r="25" customFormat="false" ht="15.75" hidden="false" customHeight="false" outlineLevel="0" collapsed="false">
      <c r="A25" s="6" t="e">
        <f aca="true">INDIRECT("'Ответы на форму (1)'!A"&amp;$L25,TRUE())</f>
        <v>#REF!</v>
      </c>
      <c r="B25" s="7" t="e">
        <f aca="true">INDIRECT("'Ответы на форму (1)'!B"&amp;$L25,TRUE())</f>
        <v>#REF!</v>
      </c>
      <c r="C25" s="7" t="e">
        <f aca="true">INDIRECT("'Ответы на форму (1)'!C"&amp;$L25,TRUE())</f>
        <v>#REF!</v>
      </c>
      <c r="D25" s="7" t="e">
        <f aca="true">INDIRECT("'Ответы на форму (1)'!D"&amp;$L25,TRUE())</f>
        <v>#REF!</v>
      </c>
      <c r="E25" s="7" t="n">
        <f aca="false">IFERROR(__xludf.dummyfunction("iferror(VALUE(REGEXEXTRACT(TEXT(INDIRECT(""'Ответы на форму (1)'!E""&amp;$L25,TRUE),""####""),""[0-9]+"")),INDIRECT(""'Ответы на форму (1)'!E""&amp;$L25,TRUE))"),117)</f>
        <v>117</v>
      </c>
      <c r="F25" s="7" t="e">
        <f aca="true">INDIRECT("'Ответы на форму (1)'!F"&amp;$L25,TRUE())</f>
        <v>#REF!</v>
      </c>
      <c r="G25" s="8" t="e">
        <f aca="true">IFERROR(MID(INDIRECT("'Ответы на форму (1)'!G"&amp;$L25,TRUE()),SEARCH("vk.com",INDIRECT("'Ответы на форму (1)'!G"&amp;$L25,TRUE())),LEN(INDIRECT("'Ответы на форму (1)'!G"&amp;$L25,TRUE()))),INDIRECT("'Ответы на форму (1)'!G"&amp;$L25,TRUE()))</f>
        <v>#REF!</v>
      </c>
      <c r="H25" s="7" t="e">
        <f aca="true">INDIRECT("'Ответы на форму (1)'!H"&amp;$L25,TRUE())</f>
        <v>#REF!</v>
      </c>
      <c r="I25" s="7" t="e">
        <f aca="true">INDIRECT("'Ответы на форму (1)'!I"&amp;$L25,TRUE())</f>
        <v>#REF!</v>
      </c>
      <c r="J25" s="7" t="e">
        <f aca="true">INDIRECT("'Ответы на форму (1)'!J"&amp;$L25,TRUE())</f>
        <v>#REF!</v>
      </c>
      <c r="K25" s="7" t="e">
        <f aca="false" t="array" ref="K25:K25">IF(COUNTIF(concat(TRIM('Список прошлого года'!$B$2:$B$200),TRIM('Список прошлого года'!$C$2:$C$200)),concat(TRIM(B25),TRIM(C25))) &gt; 0,"Да","Нет")</f>
        <v>#NAME?</v>
      </c>
      <c r="L25" s="5" t="n">
        <v>29</v>
      </c>
      <c r="M25" s="5" t="n">
        <v>2</v>
      </c>
      <c r="N25" s="7"/>
      <c r="O25" s="0" t="s">
        <v>40</v>
      </c>
      <c r="P25" s="7"/>
      <c r="Q25" s="9" t="n">
        <v>1</v>
      </c>
      <c r="R25" s="10" t="n">
        <v>1</v>
      </c>
      <c r="S25" s="10" t="n">
        <v>1</v>
      </c>
      <c r="T25" s="10" t="n">
        <v>1</v>
      </c>
      <c r="U25" s="7"/>
      <c r="V25" s="7"/>
      <c r="W25" s="7"/>
      <c r="X25" s="7"/>
      <c r="Y25" s="7"/>
      <c r="Z25" s="7"/>
    </row>
    <row r="26" customFormat="false" ht="15.75" hidden="false" customHeight="false" outlineLevel="0" collapsed="false">
      <c r="A26" s="11" t="e">
        <f aca="true">INDIRECT("'Ответы на форму (1)'!A"&amp;$L26,TRUE())</f>
        <v>#REF!</v>
      </c>
      <c r="B26" s="0" t="e">
        <f aca="true">INDIRECT("'Ответы на форму (1)'!B"&amp;$L26,TRUE())</f>
        <v>#REF!</v>
      </c>
      <c r="C26" s="0" t="e">
        <f aca="true">INDIRECT("'Ответы на форму (1)'!C"&amp;$L26,TRUE())</f>
        <v>#REF!</v>
      </c>
      <c r="D26" s="0" t="e">
        <f aca="true">INDIRECT("'Ответы на форму (1)'!D"&amp;$L26,TRUE())</f>
        <v>#REF!</v>
      </c>
      <c r="E26" s="0" t="n">
        <f aca="false">IFERROR(__xludf.dummyfunction("iferror(VALUE(REGEXEXTRACT(TEXT(INDIRECT(""'Ответы на форму (1)'!E""&amp;$L26,TRUE),""####""),""[0-9]+"")),INDIRECT(""'Ответы на форму (1)'!E""&amp;$L26,TRUE))"),64)</f>
        <v>64</v>
      </c>
      <c r="F26" s="0" t="e">
        <f aca="true">INDIRECT("'Ответы на форму (1)'!F"&amp;$L26,TRUE())</f>
        <v>#REF!</v>
      </c>
      <c r="G26" s="12" t="e">
        <f aca="true">IFERROR(MID(INDIRECT("'Ответы на форму (1)'!G"&amp;$L26,TRUE()),SEARCH("vk.com",INDIRECT("'Ответы на форму (1)'!G"&amp;$L26,TRUE())),LEN(INDIRECT("'Ответы на форму (1)'!G"&amp;$L26,TRUE()))),INDIRECT("'Ответы на форму (1)'!G"&amp;$L26,TRUE()))</f>
        <v>#REF!</v>
      </c>
      <c r="H26" s="0" t="e">
        <f aca="true">INDIRECT("'Ответы на форму (1)'!H"&amp;$L26,TRUE())</f>
        <v>#REF!</v>
      </c>
      <c r="I26" s="0" t="e">
        <f aca="true">INDIRECT("'Ответы на форму (1)'!I"&amp;$L26,TRUE())</f>
        <v>#REF!</v>
      </c>
      <c r="J26" s="0" t="e">
        <f aca="true">INDIRECT("'Ответы на форму (1)'!J"&amp;$L26,TRUE())</f>
        <v>#REF!</v>
      </c>
      <c r="K26" s="0" t="e">
        <f aca="false" t="array" ref="K26:K26">IF(COUNTIF(concat(TRIM('Список прошлого года'!$B$2:$B$200),TRIM('Список прошлого года'!$C$2:$C$200)),concat(TRIM(B26),TRIM(C26))) &gt; 0,"Да","Нет")</f>
        <v>#NAME?</v>
      </c>
      <c r="L26" s="1" t="n">
        <v>32</v>
      </c>
      <c r="M26" s="1" t="n">
        <v>2</v>
      </c>
      <c r="O26" s="1" t="s">
        <v>14</v>
      </c>
      <c r="Q26" s="1" t="n">
        <v>1</v>
      </c>
      <c r="R26" s="1" t="n">
        <v>0</v>
      </c>
      <c r="S26" s="1" t="n">
        <v>1</v>
      </c>
      <c r="T26" s="1" t="n">
        <v>0</v>
      </c>
      <c r="U26" s="1" t="n">
        <v>0</v>
      </c>
    </row>
    <row r="27" customFormat="false" ht="15.75" hidden="false" customHeight="false" outlineLevel="0" collapsed="false">
      <c r="A27" s="6" t="e">
        <f aca="true">INDIRECT("'Ответы на форму (1)'!A"&amp;$L27,TRUE())</f>
        <v>#REF!</v>
      </c>
      <c r="B27" s="7" t="e">
        <f aca="true">INDIRECT("'Ответы на форму (1)'!B"&amp;$L27,TRUE())</f>
        <v>#REF!</v>
      </c>
      <c r="C27" s="7" t="e">
        <f aca="true">INDIRECT("'Ответы на форму (1)'!C"&amp;$L27,TRUE())</f>
        <v>#REF!</v>
      </c>
      <c r="D27" s="7" t="e">
        <f aca="true">INDIRECT("'Ответы на форму (1)'!D"&amp;$L27,TRUE())</f>
        <v>#REF!</v>
      </c>
      <c r="E27" s="7" t="n">
        <f aca="false">IFERROR(__xludf.dummyfunction("iferror(VALUE(REGEXEXTRACT(TEXT(INDIRECT(""'Ответы на форму (1)'!E""&amp;$L27,TRUE),""####""),""[0-9]+"")),INDIRECT(""'Ответы на форму (1)'!E""&amp;$L27,TRUE))"),117)</f>
        <v>117</v>
      </c>
      <c r="F27" s="7" t="e">
        <f aca="true">INDIRECT("'Ответы на форму (1)'!F"&amp;$L27,TRUE())</f>
        <v>#REF!</v>
      </c>
      <c r="G27" s="8" t="e">
        <f aca="true">IFERROR(MID(INDIRECT("'Ответы на форму (1)'!G"&amp;$L27,TRUE()),SEARCH("vk.com",INDIRECT("'Ответы на форму (1)'!G"&amp;$L27,TRUE())),LEN(INDIRECT("'Ответы на форму (1)'!G"&amp;$L27,TRUE()))),INDIRECT("'Ответы на форму (1)'!G"&amp;$L27,TRUE()))</f>
        <v>#REF!</v>
      </c>
      <c r="H27" s="7" t="e">
        <f aca="true">INDIRECT("'Ответы на форму (1)'!H"&amp;$L27,TRUE())</f>
        <v>#REF!</v>
      </c>
      <c r="I27" s="7" t="e">
        <f aca="true">INDIRECT("'Ответы на форму (1)'!I"&amp;$L27,TRUE())</f>
        <v>#REF!</v>
      </c>
      <c r="J27" s="7" t="e">
        <f aca="true">INDIRECT("'Ответы на форму (1)'!J"&amp;$L27,TRUE())</f>
        <v>#REF!</v>
      </c>
      <c r="K27" s="7" t="e">
        <f aca="false" t="array" ref="K27:K27">IF(COUNTIF(concat(TRIM('Список прошлого года'!$B$2:$B$200),TRIM('Список прошлого года'!$C$2:$C$200)),concat(TRIM(B27),TRIM(C27))) &gt; 0,"Да","Нет")</f>
        <v>#NAME?</v>
      </c>
      <c r="L27" s="5" t="n">
        <v>33</v>
      </c>
      <c r="M27" s="5" t="n">
        <v>2</v>
      </c>
      <c r="N27" s="7"/>
      <c r="O27" s="1" t="s">
        <v>15</v>
      </c>
      <c r="P27" s="7"/>
      <c r="Q27" s="5" t="n">
        <v>1</v>
      </c>
      <c r="R27" s="5" t="n">
        <v>1</v>
      </c>
      <c r="S27" s="5" t="n">
        <v>1</v>
      </c>
      <c r="T27" s="5" t="n">
        <v>0</v>
      </c>
      <c r="U27" s="5" t="n">
        <v>1</v>
      </c>
      <c r="V27" s="7"/>
      <c r="W27" s="7"/>
      <c r="X27" s="7"/>
      <c r="Y27" s="7"/>
      <c r="Z27" s="7"/>
    </row>
    <row r="28" customFormat="false" ht="15.75" hidden="false" customHeight="false" outlineLevel="0" collapsed="false">
      <c r="A28" s="11" t="e">
        <f aca="true">INDIRECT("'Ответы на форму (1)'!A"&amp;$L28,TRUE())</f>
        <v>#REF!</v>
      </c>
      <c r="B28" s="0" t="e">
        <f aca="true">INDIRECT("'Ответы на форму (1)'!B"&amp;$L28,TRUE())</f>
        <v>#REF!</v>
      </c>
      <c r="C28" s="0" t="e">
        <f aca="true">INDIRECT("'Ответы на форму (1)'!C"&amp;$L28,TRUE())</f>
        <v>#REF!</v>
      </c>
      <c r="D28" s="0" t="e">
        <f aca="true">INDIRECT("'Ответы на форму (1)'!D"&amp;$L28,TRUE())</f>
        <v>#REF!</v>
      </c>
      <c r="E28" s="0" t="n">
        <f aca="false">IFERROR(__xludf.dummyfunction("iferror(VALUE(REGEXEXTRACT(TEXT(INDIRECT(""'Ответы на форму (1)'!E""&amp;$L28,TRUE),""####""),""[0-9]+"")),INDIRECT(""'Ответы на форму (1)'!E""&amp;$L28,TRUE))"),54)</f>
        <v>54</v>
      </c>
      <c r="F28" s="0" t="e">
        <f aca="true">INDIRECT("'Ответы на форму (1)'!F"&amp;$L28,TRUE())</f>
        <v>#REF!</v>
      </c>
      <c r="G28" s="12" t="e">
        <f aca="true">IFERROR(MID(INDIRECT("'Ответы на форму (1)'!G"&amp;$L28,TRUE()),SEARCH("vk.com",INDIRECT("'Ответы на форму (1)'!G"&amp;$L28,TRUE())),LEN(INDIRECT("'Ответы на форму (1)'!G"&amp;$L28,TRUE()))),INDIRECT("'Ответы на форму (1)'!G"&amp;$L28,TRUE()))</f>
        <v>#REF!</v>
      </c>
      <c r="H28" s="0" t="e">
        <f aca="true">INDIRECT("'Ответы на форму (1)'!H"&amp;$L28,TRUE())</f>
        <v>#REF!</v>
      </c>
      <c r="I28" s="0" t="e">
        <f aca="true">INDIRECT("'Ответы на форму (1)'!I"&amp;$L28,TRUE())</f>
        <v>#REF!</v>
      </c>
      <c r="J28" s="0" t="e">
        <f aca="true">INDIRECT("'Ответы на форму (1)'!J"&amp;$L28,TRUE())</f>
        <v>#REF!</v>
      </c>
      <c r="K28" s="0" t="e">
        <f aca="false" t="array" ref="K28:K28">IF(COUNTIF(concat(TRIM('Список прошлого года'!$B$2:$B$200),TRIM('Список прошлого года'!$C$2:$C$200)),concat(TRIM(B28),TRIM(C28))) &gt; 0,"Да","Нет")</f>
        <v>#NAME?</v>
      </c>
      <c r="L28" s="1" t="n">
        <v>34</v>
      </c>
      <c r="M28" s="1" t="n">
        <v>-1</v>
      </c>
    </row>
    <row r="29" customFormat="false" ht="15.75" hidden="false" customHeight="false" outlineLevel="0" collapsed="false">
      <c r="A29" s="6" t="e">
        <f aca="true">INDIRECT("'Ответы на форму (1)'!A"&amp;$L29,TRUE())</f>
        <v>#REF!</v>
      </c>
      <c r="B29" s="7" t="e">
        <f aca="true">INDIRECT("'Ответы на форму (1)'!B"&amp;$L29,TRUE())</f>
        <v>#REF!</v>
      </c>
      <c r="C29" s="7" t="e">
        <f aca="true">INDIRECT("'Ответы на форму (1)'!C"&amp;$L29,TRUE())</f>
        <v>#REF!</v>
      </c>
      <c r="D29" s="7" t="e">
        <f aca="true">INDIRECT("'Ответы на форму (1)'!D"&amp;$L29,TRUE())</f>
        <v>#REF!</v>
      </c>
      <c r="E29" s="7" t="n">
        <f aca="false">IFERROR(__xludf.dummyfunction("iferror(VALUE(REGEXEXTRACT(TEXT(INDIRECT(""'Ответы на форму (1)'!E""&amp;$L29,TRUE),""####""),""[0-9]+"")),INDIRECT(""'Ответы на форму (1)'!E""&amp;$L29,TRUE))"),66)</f>
        <v>66</v>
      </c>
      <c r="F29" s="7" t="e">
        <f aca="true">INDIRECT("'Ответы на форму (1)'!F"&amp;$L29,TRUE())</f>
        <v>#REF!</v>
      </c>
      <c r="G29" s="8" t="e">
        <f aca="true">IFERROR(MID(INDIRECT("'Ответы на форму (1)'!G"&amp;$L29,TRUE()),SEARCH("vk.com",INDIRECT("'Ответы на форму (1)'!G"&amp;$L29,TRUE())),LEN(INDIRECT("'Ответы на форму (1)'!G"&amp;$L29,TRUE()))),INDIRECT("'Ответы на форму (1)'!G"&amp;$L29,TRUE()))</f>
        <v>#REF!</v>
      </c>
      <c r="H29" s="7" t="e">
        <f aca="true">INDIRECT("'Ответы на форму (1)'!H"&amp;$L29,TRUE())</f>
        <v>#REF!</v>
      </c>
      <c r="I29" s="7" t="e">
        <f aca="true">INDIRECT("'Ответы на форму (1)'!I"&amp;$L29,TRUE())</f>
        <v>#REF!</v>
      </c>
      <c r="J29" s="7" t="e">
        <f aca="true">INDIRECT("'Ответы на форму (1)'!J"&amp;$L29,TRUE())</f>
        <v>#REF!</v>
      </c>
      <c r="K29" s="7" t="e">
        <f aca="false" t="array" ref="K29:K29">IF(COUNTIF(concat(TRIM('Список прошлого года'!$B$2:$B$200),TRIM('Список прошлого года'!$C$2:$C$200)),concat(TRIM(B29),TRIM(C29))) &gt; 0,"Да","Нет")</f>
        <v>#NAME?</v>
      </c>
      <c r="L29" s="5" t="n">
        <v>35</v>
      </c>
      <c r="M29" s="5" t="n">
        <v>2</v>
      </c>
      <c r="N29" s="7"/>
      <c r="O29" s="7" t="s">
        <v>50</v>
      </c>
      <c r="P29" s="7"/>
      <c r="Q29" s="9" t="n">
        <v>1</v>
      </c>
      <c r="R29" s="10" t="n">
        <v>1</v>
      </c>
      <c r="S29" s="10" t="n">
        <v>1</v>
      </c>
      <c r="T29" s="10" t="n">
        <v>1</v>
      </c>
      <c r="U29" s="10" t="n">
        <v>1</v>
      </c>
      <c r="V29" s="7"/>
      <c r="W29" s="7"/>
      <c r="X29" s="7"/>
      <c r="Y29" s="7"/>
      <c r="Z29" s="7"/>
    </row>
    <row r="30" customFormat="false" ht="15.75" hidden="false" customHeight="false" outlineLevel="0" collapsed="false">
      <c r="A30" s="11" t="e">
        <f aca="true">INDIRECT("'Ответы на форму (1)'!A"&amp;$L30,TRUE())</f>
        <v>#REF!</v>
      </c>
      <c r="B30" s="0" t="e">
        <f aca="true">INDIRECT("'Ответы на форму (1)'!B"&amp;$L30,TRUE())</f>
        <v>#REF!</v>
      </c>
      <c r="C30" s="0" t="e">
        <f aca="true">INDIRECT("'Ответы на форму (1)'!C"&amp;$L30,TRUE())</f>
        <v>#REF!</v>
      </c>
      <c r="D30" s="0" t="e">
        <f aca="true">INDIRECT("'Ответы на форму (1)'!D"&amp;$L30,TRUE())</f>
        <v>#REF!</v>
      </c>
      <c r="E30" s="0" t="n">
        <f aca="false">IFERROR(__xludf.dummyfunction("iferror(VALUE(REGEXEXTRACT(TEXT(INDIRECT(""'Ответы на форму (1)'!E""&amp;$L30,TRUE),""####""),""[0-9]+"")),INDIRECT(""'Ответы на форму (1)'!E""&amp;$L30,TRUE))"),66)</f>
        <v>66</v>
      </c>
      <c r="F30" s="0" t="e">
        <f aca="true">INDIRECT("'Ответы на форму (1)'!F"&amp;$L30,TRUE())</f>
        <v>#REF!</v>
      </c>
      <c r="G30" s="12" t="e">
        <f aca="true">IFERROR(MID(INDIRECT("'Ответы на форму (1)'!G"&amp;$L30,TRUE()),SEARCH("vk.com",INDIRECT("'Ответы на форму (1)'!G"&amp;$L30,TRUE())),LEN(INDIRECT("'Ответы на форму (1)'!G"&amp;$L30,TRUE()))),INDIRECT("'Ответы на форму (1)'!G"&amp;$L30,TRUE()))</f>
        <v>#REF!</v>
      </c>
      <c r="H30" s="0" t="e">
        <f aca="true">INDIRECT("'Ответы на форму (1)'!H"&amp;$L30,TRUE())</f>
        <v>#REF!</v>
      </c>
      <c r="I30" s="0" t="e">
        <f aca="true">INDIRECT("'Ответы на форму (1)'!I"&amp;$L30,TRUE())</f>
        <v>#REF!</v>
      </c>
      <c r="J30" s="0" t="e">
        <f aca="true">INDIRECT("'Ответы на форму (1)'!J"&amp;$L30,TRUE())</f>
        <v>#REF!</v>
      </c>
      <c r="K30" s="0" t="e">
        <f aca="false" t="array" ref="K30:K30">IF(COUNTIF(concat(TRIM('Список прошлого года'!$B$2:$B$200),TRIM('Список прошлого года'!$C$2:$C$200)),concat(TRIM(B30),TRIM(C30))) &gt; 0,"Да","Нет")</f>
        <v>#NAME?</v>
      </c>
      <c r="L30" s="1" t="n">
        <v>36</v>
      </c>
      <c r="M30" s="1" t="n">
        <v>2</v>
      </c>
      <c r="O30" s="7" t="s">
        <v>50</v>
      </c>
      <c r="Q30" s="1" t="n">
        <v>1</v>
      </c>
      <c r="R30" s="1" t="n">
        <v>1</v>
      </c>
      <c r="S30" s="1" t="n">
        <v>0</v>
      </c>
      <c r="T30" s="1" t="n">
        <v>1</v>
      </c>
      <c r="U30" s="1" t="n">
        <v>1</v>
      </c>
    </row>
    <row r="31" customFormat="false" ht="15.75" hidden="false" customHeight="false" outlineLevel="0" collapsed="false">
      <c r="A31" s="6" t="e">
        <f aca="true">INDIRECT("'Ответы на форму (1)'!A"&amp;$L31,TRUE())</f>
        <v>#REF!</v>
      </c>
      <c r="B31" s="7" t="e">
        <f aca="true">INDIRECT("'Ответы на форму (1)'!B"&amp;$L31,TRUE())</f>
        <v>#REF!</v>
      </c>
      <c r="C31" s="7" t="e">
        <f aca="true">INDIRECT("'Ответы на форму (1)'!C"&amp;$L31,TRUE())</f>
        <v>#REF!</v>
      </c>
      <c r="D31" s="7" t="e">
        <f aca="true">INDIRECT("'Ответы на форму (1)'!D"&amp;$L31,TRUE())</f>
        <v>#REF!</v>
      </c>
      <c r="E31" s="7"/>
      <c r="F31" s="7" t="e">
        <f aca="true">INDIRECT("'Ответы на форму (1)'!F"&amp;$L31,TRUE())</f>
        <v>#REF!</v>
      </c>
      <c r="G31" s="8" t="e">
        <f aca="true">IFERROR(MID(INDIRECT("'Ответы на форму (1)'!G"&amp;$L31,TRUE()),SEARCH("vk.com",INDIRECT("'Ответы на форму (1)'!G"&amp;$L31,TRUE())),LEN(INDIRECT("'Ответы на форму (1)'!G"&amp;$L31,TRUE()))),INDIRECT("'Ответы на форму (1)'!G"&amp;$L31,TRUE()))</f>
        <v>#REF!</v>
      </c>
      <c r="H31" s="7" t="e">
        <f aca="true">INDIRECT("'Ответы на форму (1)'!H"&amp;$L31,TRUE())</f>
        <v>#REF!</v>
      </c>
      <c r="I31" s="7" t="e">
        <f aca="true">INDIRECT("'Ответы на форму (1)'!I"&amp;$L31,TRUE())</f>
        <v>#REF!</v>
      </c>
      <c r="J31" s="7" t="e">
        <f aca="true">INDIRECT("'Ответы на форму (1)'!J"&amp;$L31,TRUE())</f>
        <v>#REF!</v>
      </c>
      <c r="K31" s="7" t="e">
        <f aca="false" t="array" ref="K31:K31">IF(COUNTIF(concat(TRIM('Список прошлого года'!$B$2:$B$200),TRIM('Список прошлого года'!$C$2:$C$200)),concat(TRIM(B31),TRIM(C31))) &gt; 0,"Да","Нет")</f>
        <v>#NAME?</v>
      </c>
      <c r="L31" s="5" t="n">
        <v>37</v>
      </c>
      <c r="M31" s="5" t="n">
        <v>2</v>
      </c>
      <c r="N31" s="7"/>
      <c r="O31" s="7" t="s">
        <v>180</v>
      </c>
      <c r="P31" s="7"/>
      <c r="Q31" s="9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7"/>
      <c r="W31" s="7"/>
      <c r="X31" s="7"/>
      <c r="Y31" s="7"/>
      <c r="Z31" s="7"/>
    </row>
    <row r="32" customFormat="false" ht="15.75" hidden="false" customHeight="false" outlineLevel="0" collapsed="false">
      <c r="A32" s="11" t="e">
        <f aca="true">INDIRECT("'Ответы на форму (1)'!A"&amp;$L32,TRUE())</f>
        <v>#REF!</v>
      </c>
      <c r="B32" s="0" t="e">
        <f aca="true">INDIRECT("'Ответы на форму (1)'!B"&amp;$L32,TRUE())</f>
        <v>#REF!</v>
      </c>
      <c r="C32" s="0" t="e">
        <f aca="true">INDIRECT("'Ответы на форму (1)'!C"&amp;$L32,TRUE())</f>
        <v>#REF!</v>
      </c>
      <c r="D32" s="0" t="e">
        <f aca="true">INDIRECT("'Ответы на форму (1)'!D"&amp;$L32,TRUE())</f>
        <v>#REF!</v>
      </c>
      <c r="E32" s="0" t="n">
        <f aca="false">IFERROR(__xludf.dummyfunction("iferror(VALUE(REGEXEXTRACT(TEXT(INDIRECT(""'Ответы на форму (1)'!E""&amp;$L32,TRUE),""####""),""[0-9]+"")),INDIRECT(""'Ответы на форму (1)'!E""&amp;$L32,TRUE))"),17)</f>
        <v>17</v>
      </c>
      <c r="F32" s="0" t="e">
        <f aca="true">INDIRECT("'Ответы на форму (1)'!F"&amp;$L32,TRUE())</f>
        <v>#REF!</v>
      </c>
      <c r="G32" s="12" t="e">
        <f aca="true">IFERROR(MID(INDIRECT("'Ответы на форму (1)'!G"&amp;$L32,TRUE()),SEARCH("vk.com",INDIRECT("'Ответы на форму (1)'!G"&amp;$L32,TRUE())),LEN(INDIRECT("'Ответы на форму (1)'!G"&amp;$L32,TRUE()))),INDIRECT("'Ответы на форму (1)'!G"&amp;$L32,TRUE()))</f>
        <v>#REF!</v>
      </c>
      <c r="H32" s="0" t="e">
        <f aca="true">INDIRECT("'Ответы на форму (1)'!H"&amp;$L32,TRUE())</f>
        <v>#REF!</v>
      </c>
      <c r="I32" s="0" t="e">
        <f aca="true">INDIRECT("'Ответы на форму (1)'!I"&amp;$L32,TRUE())</f>
        <v>#REF!</v>
      </c>
      <c r="J32" s="0" t="e">
        <f aca="true">INDIRECT("'Ответы на форму (1)'!J"&amp;$L32,TRUE())</f>
        <v>#REF!</v>
      </c>
      <c r="K32" s="0" t="e">
        <f aca="false" t="array" ref="K32:K32">IF(COUNTIF(concat(TRIM('Список прошлого года'!$B$2:$B$200),TRIM('Список прошлого года'!$C$2:$C$200)),concat(TRIM(B32),TRIM(C32))) &gt; 0,"Да","Нет")</f>
        <v>#NAME?</v>
      </c>
      <c r="L32" s="1" t="n">
        <v>38</v>
      </c>
      <c r="M32" s="1" t="n">
        <v>-1</v>
      </c>
    </row>
    <row r="33" customFormat="false" ht="15.75" hidden="false" customHeight="false" outlineLevel="0" collapsed="false">
      <c r="A33" s="11" t="e">
        <f aca="true">INDIRECT("'Ответы на форму (1)'!A"&amp;$L33,TRUE())</f>
        <v>#REF!</v>
      </c>
      <c r="B33" s="0" t="e">
        <f aca="true">INDIRECT("'Ответы на форму (1)'!B"&amp;$L33,TRUE())</f>
        <v>#REF!</v>
      </c>
      <c r="C33" s="0" t="e">
        <f aca="true">INDIRECT("'Ответы на форму (1)'!C"&amp;$L33,TRUE())</f>
        <v>#REF!</v>
      </c>
      <c r="D33" s="0" t="e">
        <f aca="true">INDIRECT("'Ответы на форму (1)'!D"&amp;$L33,TRUE())</f>
        <v>#REF!</v>
      </c>
      <c r="E33" s="0" t="str">
        <f aca="false">IFERROR(__xludf.dummyfunction("iferror(VALUE(REGEXEXTRACT(TEXT(INDIRECT(""'Ответы на форму (1)'!E""&amp;$L33,TRUE),""####""),""[0-9]+"")),INDIRECT(""'Ответы на форму (1)'!E""&amp;$L33,TRUE))"),"Академический лицей при ОмГПУ")</f>
        <v>Академический лицей при ОмГПУ</v>
      </c>
      <c r="F33" s="0" t="e">
        <f aca="true">INDIRECT("'Ответы на форму (1)'!F"&amp;$L33,TRUE())</f>
        <v>#REF!</v>
      </c>
      <c r="G33" s="12" t="e">
        <f aca="true">IFERROR(MID(INDIRECT("'Ответы на форму (1)'!G"&amp;$L33,TRUE()),SEARCH("vk.com",INDIRECT("'Ответы на форму (1)'!G"&amp;$L33,TRUE())),LEN(INDIRECT("'Ответы на форму (1)'!G"&amp;$L33,TRUE()))),INDIRECT("'Ответы на форму (1)'!G"&amp;$L33,TRUE()))</f>
        <v>#REF!</v>
      </c>
      <c r="H33" s="0" t="e">
        <f aca="true">INDIRECT("'Ответы на форму (1)'!H"&amp;$L33,TRUE())</f>
        <v>#REF!</v>
      </c>
      <c r="I33" s="0" t="e">
        <f aca="true">INDIRECT("'Ответы на форму (1)'!I"&amp;$L33,TRUE())</f>
        <v>#REF!</v>
      </c>
      <c r="J33" s="0" t="e">
        <f aca="true">INDIRECT("'Ответы на форму (1)'!J"&amp;$L33,TRUE())</f>
        <v>#REF!</v>
      </c>
      <c r="K33" s="0" t="e">
        <f aca="false" t="array" ref="K33:K33">IF(COUNTIF(concat(TRIM('Список прошлого года'!$B$2:$B$200),TRIM('Список прошлого года'!$C$2:$C$200)),concat(TRIM(B33),TRIM(C33))) &gt; 0,"Да","Нет")</f>
        <v>#NAME?</v>
      </c>
      <c r="L33" s="1" t="n">
        <v>39</v>
      </c>
      <c r="M33" s="1" t="n">
        <v>1</v>
      </c>
      <c r="N33" s="1" t="s">
        <v>688</v>
      </c>
      <c r="O33" s="1" t="s">
        <v>14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</row>
    <row r="34" customFormat="false" ht="15.75" hidden="false" customHeight="false" outlineLevel="0" collapsed="false">
      <c r="A34" s="11" t="e">
        <f aca="true">INDIRECT("'Ответы на форму (1)'!A"&amp;$L34,TRUE())</f>
        <v>#REF!</v>
      </c>
      <c r="B34" s="0" t="e">
        <f aca="true">INDIRECT("'Ответы на форму (1)'!B"&amp;$L34,TRUE())</f>
        <v>#REF!</v>
      </c>
      <c r="C34" s="0" t="e">
        <f aca="true">INDIRECT("'Ответы на форму (1)'!C"&amp;$L34,TRUE())</f>
        <v>#REF!</v>
      </c>
      <c r="D34" s="0" t="e">
        <f aca="true">INDIRECT("'Ответы на форму (1)'!D"&amp;$L34,TRUE())</f>
        <v>#REF!</v>
      </c>
      <c r="E34" s="0" t="n">
        <f aca="false">IFERROR(__xludf.dummyfunction("iferror(VALUE(REGEXEXTRACT(TEXT(INDIRECT(""'Ответы на форму (1)'!E""&amp;$L34,TRUE),""####""),""[0-9]+"")),INDIRECT(""'Ответы на форму (1)'!E""&amp;$L34,TRUE))"),66)</f>
        <v>66</v>
      </c>
      <c r="F34" s="0" t="e">
        <f aca="true">INDIRECT("'Ответы на форму (1)'!F"&amp;$L34,TRUE())</f>
        <v>#REF!</v>
      </c>
      <c r="G34" s="12" t="e">
        <f aca="true">IFERROR(MID(INDIRECT("'Ответы на форму (1)'!G"&amp;$L34,TRUE()),SEARCH("vk.com",INDIRECT("'Ответы на форму (1)'!G"&amp;$L34,TRUE())),LEN(INDIRECT("'Ответы на форму (1)'!G"&amp;$L34,TRUE()))),INDIRECT("'Ответы на форму (1)'!G"&amp;$L34,TRUE()))</f>
        <v>#REF!</v>
      </c>
      <c r="H34" s="0" t="e">
        <f aca="true">INDIRECT("'Ответы на форму (1)'!H"&amp;$L34,TRUE())</f>
        <v>#REF!</v>
      </c>
      <c r="I34" s="0" t="e">
        <f aca="true">INDIRECT("'Ответы на форму (1)'!I"&amp;$L34,TRUE())</f>
        <v>#REF!</v>
      </c>
      <c r="J34" s="0" t="e">
        <f aca="true">INDIRECT("'Ответы на форму (1)'!J"&amp;$L34,TRUE())</f>
        <v>#REF!</v>
      </c>
      <c r="K34" s="0" t="e">
        <f aca="false" t="array" ref="K34:K34">IF(COUNTIF(concat(TRIM('Список прошлого года'!$B$2:$B$200),TRIM('Список прошлого года'!$C$2:$C$200)),concat(TRIM(B34),TRIM(C34))) &gt; 0,"Да","Нет")</f>
        <v>#NAME?</v>
      </c>
      <c r="L34" s="1" t="n">
        <v>40</v>
      </c>
      <c r="M34" s="1" t="n">
        <v>2</v>
      </c>
      <c r="O34" s="7" t="s">
        <v>50</v>
      </c>
      <c r="Q34" s="1" t="n">
        <v>1</v>
      </c>
      <c r="R34" s="1" t="n">
        <v>1</v>
      </c>
      <c r="S34" s="1" t="n">
        <v>0</v>
      </c>
      <c r="T34" s="1" t="n">
        <v>0</v>
      </c>
      <c r="U34" s="1" t="n">
        <v>0</v>
      </c>
    </row>
    <row r="35" customFormat="false" ht="15.75" hidden="false" customHeight="false" outlineLevel="0" collapsed="false">
      <c r="A35" s="11" t="e">
        <f aca="true">INDIRECT("'Ответы на форму (1)'!A"&amp;$L35,TRUE())</f>
        <v>#REF!</v>
      </c>
      <c r="B35" s="0" t="e">
        <f aca="true">INDIRECT("'Ответы на форму (1)'!B"&amp;$L35,TRUE())</f>
        <v>#REF!</v>
      </c>
      <c r="C35" s="0" t="e">
        <f aca="true">INDIRECT("'Ответы на форму (1)'!C"&amp;$L35,TRUE())</f>
        <v>#REF!</v>
      </c>
      <c r="D35" s="0" t="e">
        <f aca="true">INDIRECT("'Ответы на форму (1)'!D"&amp;$L35,TRUE())</f>
        <v>#REF!</v>
      </c>
      <c r="E35" s="0" t="n">
        <f aca="false">IFERROR(__xludf.dummyfunction("iferror(VALUE(REGEXEXTRACT(TEXT(INDIRECT(""'Ответы на форму (1)'!E""&amp;$L35,TRUE),""####""),""[0-9]+"")),INDIRECT(""'Ответы на форму (1)'!E""&amp;$L35,TRUE))"),149)</f>
        <v>149</v>
      </c>
      <c r="F35" s="0" t="e">
        <f aca="true">INDIRECT("'Ответы на форму (1)'!F"&amp;$L35,TRUE())</f>
        <v>#REF!</v>
      </c>
      <c r="G35" s="12" t="e">
        <f aca="true">IFERROR(MID(INDIRECT("'Ответы на форму (1)'!G"&amp;$L35,TRUE()),SEARCH("vk.com",INDIRECT("'Ответы на форму (1)'!G"&amp;$L35,TRUE())),LEN(INDIRECT("'Ответы на форму (1)'!G"&amp;$L35,TRUE()))),INDIRECT("'Ответы на форму (1)'!G"&amp;$L35,TRUE()))</f>
        <v>#REF!</v>
      </c>
      <c r="H35" s="0" t="e">
        <f aca="true">INDIRECT("'Ответы на форму (1)'!H"&amp;$L35,TRUE())</f>
        <v>#REF!</v>
      </c>
      <c r="I35" s="0" t="e">
        <f aca="true">INDIRECT("'Ответы на форму (1)'!I"&amp;$L35,TRUE())</f>
        <v>#REF!</v>
      </c>
      <c r="J35" s="0" t="e">
        <f aca="true">INDIRECT("'Ответы на форму (1)'!J"&amp;$L35,TRUE())</f>
        <v>#REF!</v>
      </c>
      <c r="K35" s="0" t="e">
        <f aca="false" t="array" ref="K35:K35">IF(COUNTIF(concat(TRIM('Список прошлого года'!$B$2:$B$200),TRIM('Список прошлого года'!$C$2:$C$200)),concat(TRIM(B35),TRIM(C35))) &gt; 0,"Да","Нет")</f>
        <v>#NAME?</v>
      </c>
      <c r="L35" s="1" t="n">
        <v>41</v>
      </c>
      <c r="M35" s="1" t="n">
        <v>2</v>
      </c>
      <c r="O35" s="7" t="s">
        <v>50</v>
      </c>
      <c r="Q35" s="1" t="n">
        <v>1</v>
      </c>
      <c r="R35" s="1" t="n">
        <v>1</v>
      </c>
      <c r="S35" s="1" t="n">
        <v>0</v>
      </c>
      <c r="T35" s="1" t="n">
        <v>0</v>
      </c>
      <c r="U35" s="1" t="n">
        <v>0</v>
      </c>
    </row>
    <row r="36" customFormat="false" ht="15.75" hidden="false" customHeight="false" outlineLevel="0" collapsed="false">
      <c r="A36" s="6" t="e">
        <f aca="true">INDIRECT("'Ответы на форму (1)'!A"&amp;$L36,TRUE())</f>
        <v>#REF!</v>
      </c>
      <c r="B36" s="7" t="e">
        <f aca="true">INDIRECT("'Ответы на форму (1)'!B"&amp;$L36,TRUE())</f>
        <v>#REF!</v>
      </c>
      <c r="C36" s="7" t="e">
        <f aca="true">INDIRECT("'Ответы на форму (1)'!C"&amp;$L36,TRUE())</f>
        <v>#REF!</v>
      </c>
      <c r="D36" s="7" t="e">
        <f aca="true">INDIRECT("'Ответы на форму (1)'!D"&amp;$L36,TRUE())</f>
        <v>#REF!</v>
      </c>
      <c r="E36" s="7" t="n">
        <f aca="false">IFERROR(__xludf.dummyfunction("iferror(VALUE(REGEXEXTRACT(TEXT(INDIRECT(""'Ответы на форму (1)'!E""&amp;$L36,TRUE),""####""),""[0-9]+"")),INDIRECT(""'Ответы на форму (1)'!E""&amp;$L36,TRUE))"),117)</f>
        <v>117</v>
      </c>
      <c r="F36" s="7" t="e">
        <f aca="true">INDIRECT("'Ответы на форму (1)'!F"&amp;$L36,TRUE())</f>
        <v>#REF!</v>
      </c>
      <c r="G36" s="8" t="e">
        <f aca="true">IFERROR(MID(INDIRECT("'Ответы на форму (1)'!G"&amp;$L36,TRUE()),SEARCH("vk.com",INDIRECT("'Ответы на форму (1)'!G"&amp;$L36,TRUE())),LEN(INDIRECT("'Ответы на форму (1)'!G"&amp;$L36,TRUE()))),INDIRECT("'Ответы на форму (1)'!G"&amp;$L36,TRUE()))</f>
        <v>#REF!</v>
      </c>
      <c r="H36" s="7" t="e">
        <f aca="true">INDIRECT("'Ответы на форму (1)'!H"&amp;$L36,TRUE())</f>
        <v>#REF!</v>
      </c>
      <c r="I36" s="7" t="e">
        <f aca="true">INDIRECT("'Ответы на форму (1)'!I"&amp;$L36,TRUE())</f>
        <v>#REF!</v>
      </c>
      <c r="J36" s="7" t="e">
        <f aca="true">INDIRECT("'Ответы на форму (1)'!J"&amp;$L36,TRUE())</f>
        <v>#REF!</v>
      </c>
      <c r="K36" s="7" t="e">
        <f aca="false" t="array" ref="K36:K36">IF(COUNTIF(concat(TRIM('Список прошлого года'!$B$2:$B$200),TRIM('Список прошлого года'!$C$2:$C$200)),concat(TRIM(B36),TRIM(C36))) &gt; 0,"Да","Нет")</f>
        <v>#NAME?</v>
      </c>
      <c r="L36" s="5" t="n">
        <v>45</v>
      </c>
      <c r="M36" s="5" t="n">
        <v>2</v>
      </c>
      <c r="N36" s="7"/>
      <c r="O36" s="7" t="s">
        <v>50</v>
      </c>
      <c r="P36" s="7"/>
      <c r="Q36" s="5" t="n">
        <v>1</v>
      </c>
      <c r="R36" s="5" t="n">
        <v>1</v>
      </c>
      <c r="S36" s="5" t="n">
        <v>1</v>
      </c>
      <c r="T36" s="5" t="n">
        <v>1</v>
      </c>
      <c r="U36" s="7"/>
      <c r="V36" s="7"/>
      <c r="W36" s="7"/>
      <c r="X36" s="7"/>
      <c r="Y36" s="7"/>
      <c r="Z36" s="7"/>
    </row>
    <row r="37" customFormat="false" ht="15.75" hidden="false" customHeight="false" outlineLevel="0" collapsed="false">
      <c r="A37" s="6" t="e">
        <f aca="true">INDIRECT("'Ответы на форму (1)'!A"&amp;$L37,TRUE())</f>
        <v>#REF!</v>
      </c>
      <c r="B37" s="7" t="e">
        <f aca="true">INDIRECT("'Ответы на форму (1)'!B"&amp;$L37,TRUE())</f>
        <v>#REF!</v>
      </c>
      <c r="C37" s="7" t="e">
        <f aca="true">INDIRECT("'Ответы на форму (1)'!C"&amp;$L37,TRUE())</f>
        <v>#REF!</v>
      </c>
      <c r="D37" s="7" t="e">
        <f aca="true">INDIRECT("'Ответы на форму (1)'!D"&amp;$L37,TRUE())</f>
        <v>#REF!</v>
      </c>
      <c r="E37" s="7" t="n">
        <f aca="false">IFERROR(__xludf.dummyfunction("iferror(VALUE(REGEXEXTRACT(TEXT(INDIRECT(""'Ответы на форму (1)'!E""&amp;$L37,TRUE),""####""),""[0-9]+"")),INDIRECT(""'Ответы на форму (1)'!E""&amp;$L37,TRUE))"),117)</f>
        <v>117</v>
      </c>
      <c r="F37" s="7" t="e">
        <f aca="true">INDIRECT("'Ответы на форму (1)'!F"&amp;$L37,TRUE())</f>
        <v>#REF!</v>
      </c>
      <c r="G37" s="8" t="e">
        <f aca="true">IFERROR(MID(INDIRECT("'Ответы на форму (1)'!G"&amp;$L37,TRUE()),SEARCH("vk.com",INDIRECT("'Ответы на форму (1)'!G"&amp;$L37,TRUE())),LEN(INDIRECT("'Ответы на форму (1)'!G"&amp;$L37,TRUE()))),INDIRECT("'Ответы на форму (1)'!G"&amp;$L37,TRUE()))</f>
        <v>#REF!</v>
      </c>
      <c r="H37" s="7" t="e">
        <f aca="true">INDIRECT("'Ответы на форму (1)'!H"&amp;$L37,TRUE())</f>
        <v>#REF!</v>
      </c>
      <c r="I37" s="7" t="e">
        <f aca="true">INDIRECT("'Ответы на форму (1)'!I"&amp;$L37,TRUE())</f>
        <v>#REF!</v>
      </c>
      <c r="J37" s="7" t="e">
        <f aca="true">INDIRECT("'Ответы на форму (1)'!J"&amp;$L37,TRUE())</f>
        <v>#REF!</v>
      </c>
      <c r="K37" s="7" t="e">
        <f aca="false" t="array" ref="K37:K37">IF(COUNTIF(concat(TRIM('Список прошлого года'!$B$2:$B$200),TRIM('Список прошлого года'!$C$2:$C$200)),concat(TRIM(B37),TRIM(C37))) &gt; 0,"Да","Нет")</f>
        <v>#NAME?</v>
      </c>
      <c r="L37" s="5" t="n">
        <v>46</v>
      </c>
      <c r="M37" s="5" t="n">
        <v>2</v>
      </c>
      <c r="N37" s="7"/>
      <c r="O37" s="7" t="s">
        <v>148</v>
      </c>
      <c r="P37" s="7"/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7"/>
      <c r="W37" s="7"/>
      <c r="X37" s="7"/>
      <c r="Y37" s="7"/>
      <c r="Z37" s="7"/>
    </row>
    <row r="38" customFormat="false" ht="15.75" hidden="false" customHeight="false" outlineLevel="0" collapsed="false">
      <c r="A38" s="11" t="e">
        <f aca="true">INDIRECT("'Ответы на форму (1)'!A"&amp;$L38,TRUE())</f>
        <v>#REF!</v>
      </c>
      <c r="B38" s="0" t="e">
        <f aca="true">INDIRECT("'Ответы на форму (1)'!B"&amp;$L38,TRUE())</f>
        <v>#REF!</v>
      </c>
      <c r="C38" s="0" t="e">
        <f aca="true">INDIRECT("'Ответы на форму (1)'!C"&amp;$L38,TRUE())</f>
        <v>#REF!</v>
      </c>
      <c r="D38" s="0" t="e">
        <f aca="true">INDIRECT("'Ответы на форму (1)'!D"&amp;$L38,TRUE())</f>
        <v>#REF!</v>
      </c>
      <c r="E38" s="0" t="n">
        <f aca="false">IFERROR(__xludf.dummyfunction("iferror(VALUE(REGEXEXTRACT(TEXT(INDIRECT(""'Ответы на форму (1)'!E""&amp;$L38,TRUE),""####""),""[0-9]+"")),INDIRECT(""'Ответы на форму (1)'!E""&amp;$L38,TRUE))"),117)</f>
        <v>117</v>
      </c>
      <c r="F38" s="0" t="e">
        <f aca="true">INDIRECT("'Ответы на форму (1)'!F"&amp;$L38,TRUE())</f>
        <v>#REF!</v>
      </c>
      <c r="G38" s="0" t="e">
        <f aca="true">IFERROR(MID(INDIRECT("'Ответы на форму (1)'!G"&amp;$L38,TRUE()),SEARCH("vk.com",INDIRECT("'Ответы на форму (1)'!G"&amp;$L38,TRUE())),LEN(INDIRECT("'Ответы на форму (1)'!G"&amp;$L38,TRUE()))),INDIRECT("'Ответы на форму (1)'!G"&amp;$L38,TRUE()))</f>
        <v>#REF!</v>
      </c>
      <c r="H38" s="0" t="e">
        <f aca="true">INDIRECT("'Ответы на форму (1)'!H"&amp;$L38,TRUE())</f>
        <v>#REF!</v>
      </c>
      <c r="I38" s="0" t="e">
        <f aca="true">INDIRECT("'Ответы на форму (1)'!I"&amp;$L38,TRUE())</f>
        <v>#REF!</v>
      </c>
      <c r="J38" s="0" t="e">
        <f aca="true">INDIRECT("'Ответы на форму (1)'!J"&amp;$L38,TRUE())</f>
        <v>#REF!</v>
      </c>
      <c r="K38" s="0" t="e">
        <f aca="false" t="array" ref="K38:K38">IF(COUNTIF(concat(TRIM('Список прошлого года'!$B$2:$B$200),TRIM('Список прошлого года'!$C$2:$C$200)),concat(TRIM(B38),TRIM(C38))) &gt; 0,"Да","Нет")</f>
        <v>#NAME?</v>
      </c>
      <c r="L38" s="1" t="n">
        <v>47</v>
      </c>
      <c r="M38" s="1" t="n">
        <v>1</v>
      </c>
      <c r="O38" s="1" t="s">
        <v>14</v>
      </c>
      <c r="Q38" s="9" t="n">
        <v>1</v>
      </c>
      <c r="R38" s="10" t="n">
        <v>1</v>
      </c>
      <c r="S38" s="10" t="n">
        <v>1</v>
      </c>
      <c r="T38" s="10" t="n">
        <v>1</v>
      </c>
      <c r="U38" s="10" t="n">
        <v>1</v>
      </c>
    </row>
    <row r="39" customFormat="false" ht="15.75" hidden="false" customHeight="false" outlineLevel="0" collapsed="false">
      <c r="A39" s="11" t="e">
        <f aca="true">INDIRECT("'Ответы на форму (1)'!A"&amp;$L39,TRUE())</f>
        <v>#REF!</v>
      </c>
      <c r="B39" s="0" t="e">
        <f aca="true">INDIRECT("'Ответы на форму (1)'!B"&amp;$L39,TRUE())</f>
        <v>#REF!</v>
      </c>
      <c r="C39" s="0" t="e">
        <f aca="true">INDIRECT("'Ответы на форму (1)'!C"&amp;$L39,TRUE())</f>
        <v>#REF!</v>
      </c>
      <c r="D39" s="0" t="e">
        <f aca="true">INDIRECT("'Ответы на форму (1)'!D"&amp;$L39,TRUE())</f>
        <v>#REF!</v>
      </c>
      <c r="E39" s="0" t="n">
        <f aca="false">IFERROR(__xludf.dummyfunction("iferror(VALUE(REGEXEXTRACT(TEXT(INDIRECT(""'Ответы на форму (1)'!E""&amp;$L39,TRUE),""####""),""[0-9]+"")),INDIRECT(""'Ответы на форму (1)'!E""&amp;$L39,TRUE))"),64)</f>
        <v>64</v>
      </c>
      <c r="F39" s="0" t="e">
        <f aca="true">INDIRECT("'Ответы на форму (1)'!F"&amp;$L39,TRUE())</f>
        <v>#REF!</v>
      </c>
      <c r="G39" s="0" t="e">
        <f aca="true">IFERROR(MID(INDIRECT("'Ответы на форму (1)'!G"&amp;$L39,TRUE()),SEARCH("vk.com",INDIRECT("'Ответы на форму (1)'!G"&amp;$L39,TRUE())),LEN(INDIRECT("'Ответы на форму (1)'!G"&amp;$L39,TRUE()))),INDIRECT("'Ответы на форму (1)'!G"&amp;$L39,TRUE()))</f>
        <v>#REF!</v>
      </c>
      <c r="H39" s="0" t="e">
        <f aca="true">INDIRECT("'Ответы на форму (1)'!H"&amp;$L39,TRUE())</f>
        <v>#REF!</v>
      </c>
      <c r="I39" s="0" t="e">
        <f aca="true">INDIRECT("'Ответы на форму (1)'!I"&amp;$L39,TRUE())</f>
        <v>#REF!</v>
      </c>
      <c r="J39" s="0" t="e">
        <f aca="true">INDIRECT("'Ответы на форму (1)'!J"&amp;$L39,TRUE())</f>
        <v>#REF!</v>
      </c>
      <c r="K39" s="0" t="e">
        <f aca="false" t="array" ref="K39:K39">IF(COUNTIF(concat(TRIM('Список прошлого года'!$B$2:$B$200),TRIM('Список прошлого года'!$C$2:$C$200)),concat(TRIM(B39),TRIM(C39))) &gt; 0,"Да","Нет")</f>
        <v>#NAME?</v>
      </c>
      <c r="L39" s="1" t="n">
        <v>48</v>
      </c>
      <c r="M39" s="1" t="n">
        <v>1</v>
      </c>
      <c r="O39" s="1" t="s">
        <v>14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1</v>
      </c>
    </row>
    <row r="40" customFormat="false" ht="15.75" hidden="false" customHeight="false" outlineLevel="0" collapsed="false">
      <c r="A40" s="11" t="e">
        <f aca="true">INDIRECT("'Ответы на форму (1)'!A"&amp;$L40,TRUE())</f>
        <v>#REF!</v>
      </c>
      <c r="B40" s="0" t="e">
        <f aca="true">INDIRECT("'Ответы на форму (1)'!B"&amp;$L40,TRUE())</f>
        <v>#REF!</v>
      </c>
      <c r="C40" s="0" t="e">
        <f aca="true">INDIRECT("'Ответы на форму (1)'!C"&amp;$L40,TRUE())</f>
        <v>#REF!</v>
      </c>
      <c r="D40" s="0" t="e">
        <f aca="true">INDIRECT("'Ответы на форму (1)'!D"&amp;$L40,TRUE())</f>
        <v>#REF!</v>
      </c>
      <c r="E40" s="0" t="n">
        <f aca="false">IFERROR(__xludf.dummyfunction("iferror(VALUE(REGEXEXTRACT(TEXT(INDIRECT(""'Ответы на форму (1)'!E""&amp;$L40,TRUE),""####""),""[0-9]+"")),INDIRECT(""'Ответы на форму (1)'!E""&amp;$L40,TRUE))"),117)</f>
        <v>117</v>
      </c>
      <c r="F40" s="0" t="e">
        <f aca="true">INDIRECT("'Ответы на форму (1)'!F"&amp;$L40,TRUE())</f>
        <v>#REF!</v>
      </c>
      <c r="G40" s="12" t="e">
        <f aca="true">IFERROR(MID(INDIRECT("'Ответы на форму (1)'!G"&amp;$L40,TRUE()),SEARCH("vk.com",INDIRECT("'Ответы на форму (1)'!G"&amp;$L40,TRUE())),LEN(INDIRECT("'Ответы на форму (1)'!G"&amp;$L40,TRUE()))),INDIRECT("'Ответы на форму (1)'!G"&amp;$L40,TRUE()))</f>
        <v>#REF!</v>
      </c>
      <c r="H40" s="0" t="e">
        <f aca="true">INDIRECT("'Ответы на форму (1)'!H"&amp;$L40,TRUE())</f>
        <v>#REF!</v>
      </c>
      <c r="I40" s="0" t="e">
        <f aca="true">INDIRECT("'Ответы на форму (1)'!I"&amp;$L40,TRUE())</f>
        <v>#REF!</v>
      </c>
      <c r="J40" s="0" t="e">
        <f aca="true">INDIRECT("'Ответы на форму (1)'!J"&amp;$L40,TRUE())</f>
        <v>#REF!</v>
      </c>
      <c r="K40" s="0" t="e">
        <f aca="false" t="array" ref="K40:K40">IF(COUNTIF(concat(TRIM('Список прошлого года'!$B$2:$B$200),TRIM('Список прошлого года'!$C$2:$C$200)),concat(TRIM(B40),TRIM(C40))) &gt; 0,"Да","Нет")</f>
        <v>#NAME?</v>
      </c>
      <c r="L40" s="1" t="n">
        <v>51</v>
      </c>
      <c r="M40" s="1" t="n">
        <v>2</v>
      </c>
      <c r="O40" s="1" t="s">
        <v>14</v>
      </c>
      <c r="Q40" s="1" t="n">
        <v>1</v>
      </c>
      <c r="R40" s="1" t="n">
        <v>0</v>
      </c>
      <c r="S40" s="1" t="n">
        <v>0</v>
      </c>
      <c r="T40" s="1" t="n">
        <v>0</v>
      </c>
      <c r="U40" s="1" t="n">
        <v>0</v>
      </c>
    </row>
    <row r="41" customFormat="false" ht="15.75" hidden="false" customHeight="false" outlineLevel="0" collapsed="false">
      <c r="A41" s="11" t="e">
        <f aca="true">INDIRECT("'Ответы на форму (1)'!A"&amp;$L41,TRUE())</f>
        <v>#REF!</v>
      </c>
      <c r="B41" s="0" t="e">
        <f aca="true">INDIRECT("'Ответы на форму (1)'!B"&amp;$L41,TRUE())</f>
        <v>#REF!</v>
      </c>
      <c r="C41" s="0" t="e">
        <f aca="true">INDIRECT("'Ответы на форму (1)'!C"&amp;$L41,TRUE())</f>
        <v>#REF!</v>
      </c>
      <c r="D41" s="0" t="e">
        <f aca="true">INDIRECT("'Ответы на форму (1)'!D"&amp;$L41,TRUE())</f>
        <v>#REF!</v>
      </c>
      <c r="E41" s="0" t="str">
        <f aca="false">IFERROR(__xludf.dummyfunction("iferror(VALUE(REGEXEXTRACT(TEXT(INDIRECT(""'Ответы на форму (1)'!E""&amp;$L41,TRUE),""####""),""[0-9]+"")),INDIRECT(""'Ответы на форму (1)'!E""&amp;$L41,TRUE))"),"Лицей НИУ ВШЭ")</f>
        <v>Лицей НИУ ВШЭ</v>
      </c>
      <c r="F41" s="0" t="e">
        <f aca="true">INDIRECT("'Ответы на форму (1)'!F"&amp;$L41,TRUE())</f>
        <v>#REF!</v>
      </c>
      <c r="G41" s="12" t="e">
        <f aca="true">IFERROR(MID(INDIRECT("'Ответы на форму (1)'!G"&amp;$L41,TRUE()),SEARCH("vk.com",INDIRECT("'Ответы на форму (1)'!G"&amp;$L41,TRUE())),LEN(INDIRECT("'Ответы на форму (1)'!G"&amp;$L41,TRUE()))),INDIRECT("'Ответы на форму (1)'!G"&amp;$L41,TRUE()))</f>
        <v>#REF!</v>
      </c>
      <c r="H41" s="0" t="e">
        <f aca="true">INDIRECT("'Ответы на форму (1)'!H"&amp;$L41,TRUE())</f>
        <v>#REF!</v>
      </c>
      <c r="I41" s="0" t="e">
        <f aca="true">INDIRECT("'Ответы на форму (1)'!I"&amp;$L41,TRUE())</f>
        <v>#REF!</v>
      </c>
      <c r="J41" s="0" t="e">
        <f aca="true">INDIRECT("'Ответы на форму (1)'!J"&amp;$L41,TRUE())</f>
        <v>#REF!</v>
      </c>
      <c r="K41" s="0" t="e">
        <f aca="false" t="array" ref="K41:K41">IF(COUNTIF(concat(TRIM('Список прошлого года'!$B$2:$B$200),TRIM('Список прошлого года'!$C$2:$C$200)),concat(TRIM(B41),TRIM(C41))) &gt; 0,"Да","Нет")</f>
        <v>#NAME?</v>
      </c>
      <c r="L41" s="1" t="n">
        <v>53</v>
      </c>
      <c r="M41" s="1" t="n">
        <v>2</v>
      </c>
      <c r="O41" s="7" t="s">
        <v>50</v>
      </c>
      <c r="Q41" s="9" t="n">
        <v>1</v>
      </c>
      <c r="R41" s="10" t="n">
        <v>1</v>
      </c>
      <c r="S41" s="10" t="n">
        <v>1</v>
      </c>
      <c r="T41" s="10" t="n">
        <v>1</v>
      </c>
      <c r="U41" s="10" t="n">
        <v>1</v>
      </c>
    </row>
    <row r="42" customFormat="false" ht="15.75" hidden="false" customHeight="false" outlineLevel="0" collapsed="false">
      <c r="A42" s="6" t="e">
        <f aca="true">INDIRECT("'Ответы на форму (1)'!A"&amp;$L42,TRUE())</f>
        <v>#REF!</v>
      </c>
      <c r="B42" s="7" t="e">
        <f aca="true">INDIRECT("'Ответы на форму (1)'!B"&amp;$L42,TRUE())</f>
        <v>#REF!</v>
      </c>
      <c r="C42" s="7" t="e">
        <f aca="true">INDIRECT("'Ответы на форму (1)'!C"&amp;$L42,TRUE())</f>
        <v>#REF!</v>
      </c>
      <c r="D42" s="7" t="e">
        <f aca="true">INDIRECT("'Ответы на форму (1)'!D"&amp;$L42,TRUE())</f>
        <v>#REF!</v>
      </c>
      <c r="E42" s="7" t="n">
        <f aca="false">IFERROR(__xludf.dummyfunction("iferror(VALUE(REGEXEXTRACT(TEXT(INDIRECT(""'Ответы на форму (1)'!E""&amp;$L42,TRUE),""####""),""[0-9]+"")),INDIRECT(""'Ответы на форму (1)'!E""&amp;$L42,TRUE))"),117)</f>
        <v>117</v>
      </c>
      <c r="F42" s="7" t="e">
        <f aca="true">INDIRECT("'Ответы на форму (1)'!F"&amp;$L42,TRUE())</f>
        <v>#REF!</v>
      </c>
      <c r="G42" s="8" t="e">
        <f aca="true">IFERROR(MID(INDIRECT("'Ответы на форму (1)'!G"&amp;$L42,TRUE()),SEARCH("vk.com",INDIRECT("'Ответы на форму (1)'!G"&amp;$L42,TRUE())),LEN(INDIRECT("'Ответы на форму (1)'!G"&amp;$L42,TRUE()))),INDIRECT("'Ответы на форму (1)'!G"&amp;$L42,TRUE()))</f>
        <v>#REF!</v>
      </c>
      <c r="H42" s="7" t="e">
        <f aca="true">INDIRECT("'Ответы на форму (1)'!H"&amp;$L42,TRUE())</f>
        <v>#REF!</v>
      </c>
      <c r="I42" s="7" t="e">
        <f aca="true">INDIRECT("'Ответы на форму (1)'!I"&amp;$L42,TRUE())</f>
        <v>#REF!</v>
      </c>
      <c r="J42" s="7" t="e">
        <f aca="true">INDIRECT("'Ответы на форму (1)'!J"&amp;$L42,TRUE())</f>
        <v>#REF!</v>
      </c>
      <c r="K42" s="7" t="e">
        <f aca="false" t="array" ref="K42:K42">IF(COUNTIF(concat(TRIM('Список прошлого года'!$B$2:$B$200),TRIM('Список прошлого года'!$C$2:$C$200)),concat(TRIM(B42),TRIM(C42))) &gt; 0,"Да","Нет")</f>
        <v>#NAME?</v>
      </c>
      <c r="L42" s="5" t="n">
        <v>54</v>
      </c>
      <c r="M42" s="5" t="n">
        <v>2</v>
      </c>
      <c r="N42" s="7"/>
      <c r="O42" s="1" t="s">
        <v>14</v>
      </c>
      <c r="P42" s="7"/>
      <c r="Q42" s="9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7"/>
      <c r="W42" s="7"/>
      <c r="X42" s="7"/>
      <c r="Y42" s="7"/>
      <c r="Z42" s="7"/>
    </row>
    <row r="43" customFormat="false" ht="15.75" hidden="false" customHeight="false" outlineLevel="0" collapsed="false">
      <c r="A43" s="11" t="e">
        <f aca="true">INDIRECT("'Ответы на форму (1)'!A"&amp;$L43,TRUE())</f>
        <v>#REF!</v>
      </c>
      <c r="B43" s="0" t="e">
        <f aca="true">INDIRECT("'Ответы на форму (1)'!B"&amp;$L43,TRUE())</f>
        <v>#REF!</v>
      </c>
      <c r="C43" s="0" t="e">
        <f aca="true">INDIRECT("'Ответы на форму (1)'!C"&amp;$L43,TRUE())</f>
        <v>#REF!</v>
      </c>
      <c r="D43" s="0" t="e">
        <f aca="true">INDIRECT("'Ответы на форму (1)'!D"&amp;$L43,TRUE())</f>
        <v>#REF!</v>
      </c>
      <c r="E43" s="0" t="n">
        <f aca="false">IFERROR(__xludf.dummyfunction("iferror(VALUE(REGEXEXTRACT(TEXT(INDIRECT(""'Ответы на форму (1)'!E""&amp;$L43,TRUE),""####""),""[0-9]+"")),INDIRECT(""'Ответы на форму (1)'!E""&amp;$L43,TRUE))"),117)</f>
        <v>117</v>
      </c>
      <c r="F43" s="0" t="e">
        <f aca="true">INDIRECT("'Ответы на форму (1)'!F"&amp;$L43,TRUE())</f>
        <v>#REF!</v>
      </c>
      <c r="G43" s="12" t="e">
        <f aca="true">IFERROR(MID(INDIRECT("'Ответы на форму (1)'!G"&amp;$L43,TRUE()),SEARCH("vk.com",INDIRECT("'Ответы на форму (1)'!G"&amp;$L43,TRUE())),LEN(INDIRECT("'Ответы на форму (1)'!G"&amp;$L43,TRUE()))),INDIRECT("'Ответы на форму (1)'!G"&amp;$L43,TRUE()))</f>
        <v>#REF!</v>
      </c>
      <c r="H43" s="0" t="e">
        <f aca="true">INDIRECT("'Ответы на форму (1)'!H"&amp;$L43,TRUE())</f>
        <v>#REF!</v>
      </c>
      <c r="I43" s="0" t="e">
        <f aca="true">INDIRECT("'Ответы на форму (1)'!I"&amp;$L43,TRUE())</f>
        <v>#REF!</v>
      </c>
      <c r="J43" s="0" t="e">
        <f aca="true">INDIRECT("'Ответы на форму (1)'!J"&amp;$L43,TRUE())</f>
        <v>#REF!</v>
      </c>
      <c r="K43" s="0" t="e">
        <f aca="false" t="array" ref="K43:K43">IF(COUNTIF(concat(TRIM('Список прошлого года'!$B$2:$B$200),TRIM('Список прошлого года'!$C$2:$C$200)),concat(TRIM(B43),TRIM(C43))) &gt; 0,"Да","Нет")</f>
        <v>#NAME?</v>
      </c>
      <c r="L43" s="1" t="n">
        <v>55</v>
      </c>
      <c r="M43" s="1" t="n">
        <v>2</v>
      </c>
      <c r="O43" s="7" t="s">
        <v>70</v>
      </c>
      <c r="Q43" s="1" t="n">
        <v>0</v>
      </c>
      <c r="R43" s="1" t="n">
        <v>1</v>
      </c>
      <c r="S43" s="1" t="n">
        <v>1</v>
      </c>
      <c r="T43" s="1" t="n">
        <v>1</v>
      </c>
      <c r="U43" s="1" t="n">
        <v>1</v>
      </c>
    </row>
    <row r="44" customFormat="false" ht="15.75" hidden="false" customHeight="false" outlineLevel="0" collapsed="false">
      <c r="A44" s="6" t="e">
        <f aca="true">INDIRECT("'Ответы на форму (1)'!A"&amp;$L44,TRUE())</f>
        <v>#REF!</v>
      </c>
      <c r="B44" s="7" t="e">
        <f aca="true">INDIRECT("'Ответы на форму (1)'!B"&amp;$L44,TRUE())</f>
        <v>#REF!</v>
      </c>
      <c r="C44" s="7" t="e">
        <f aca="true">INDIRECT("'Ответы на форму (1)'!C"&amp;$L44,TRUE())</f>
        <v>#REF!</v>
      </c>
      <c r="D44" s="7" t="e">
        <f aca="true">INDIRECT("'Ответы на форму (1)'!D"&amp;$L44,TRUE())</f>
        <v>#REF!</v>
      </c>
      <c r="E44" s="7" t="n">
        <f aca="false">IFERROR(__xludf.dummyfunction("iferror(VALUE(REGEXEXTRACT(TEXT(INDIRECT(""'Ответы на форму (1)'!E""&amp;$L44,TRUE),""####""),""[0-9]+"")),INDIRECT(""'Ответы на форму (1)'!E""&amp;$L44,TRUE))"),117)</f>
        <v>117</v>
      </c>
      <c r="F44" s="7" t="e">
        <f aca="true">INDIRECT("'Ответы на форму (1)'!F"&amp;$L44,TRUE())</f>
        <v>#REF!</v>
      </c>
      <c r="G44" s="8" t="e">
        <f aca="true">IFERROR(MID(INDIRECT("'Ответы на форму (1)'!G"&amp;$L44,TRUE()),SEARCH("vk.com",INDIRECT("'Ответы на форму (1)'!G"&amp;$L44,TRUE())),LEN(INDIRECT("'Ответы на форму (1)'!G"&amp;$L44,TRUE()))),INDIRECT("'Ответы на форму (1)'!G"&amp;$L44,TRUE()))</f>
        <v>#REF!</v>
      </c>
      <c r="H44" s="7" t="e">
        <f aca="true">INDIRECT("'Ответы на форму (1)'!H"&amp;$L44,TRUE())</f>
        <v>#REF!</v>
      </c>
      <c r="I44" s="7" t="e">
        <f aca="true">INDIRECT("'Ответы на форму (1)'!I"&amp;$L44,TRUE())</f>
        <v>#REF!</v>
      </c>
      <c r="J44" s="7" t="e">
        <f aca="true">INDIRECT("'Ответы на форму (1)'!J"&amp;$L44,TRUE())</f>
        <v>#REF!</v>
      </c>
      <c r="K44" s="7" t="e">
        <f aca="false" t="array" ref="K44:K44">IF(COUNTIF(concat(TRIM('Список прошлого года'!$B$2:$B$200),TRIM('Список прошлого года'!$C$2:$C$200)),concat(TRIM(B44),TRIM(C44))) &gt; 0,IF(concat(TRIM(B44),TRIM(C44)) = "","","Да"),"Нет")</f>
        <v>#NAME?</v>
      </c>
      <c r="L44" s="5" t="n">
        <v>56</v>
      </c>
      <c r="M44" s="5" t="n">
        <v>2</v>
      </c>
      <c r="N44" s="7"/>
      <c r="O44" s="7" t="s">
        <v>29</v>
      </c>
      <c r="P44" s="7"/>
      <c r="Q44" s="5" t="n">
        <v>1</v>
      </c>
      <c r="R44" s="5" t="n">
        <v>1</v>
      </c>
      <c r="S44" s="5" t="n">
        <v>1</v>
      </c>
      <c r="T44" s="5" t="n">
        <v>1</v>
      </c>
      <c r="U44" s="5" t="n">
        <v>1</v>
      </c>
      <c r="V44" s="7"/>
      <c r="W44" s="7"/>
      <c r="X44" s="7"/>
      <c r="Y44" s="7"/>
      <c r="Z44" s="7"/>
    </row>
    <row r="45" customFormat="false" ht="15.75" hidden="false" customHeight="false" outlineLevel="0" collapsed="false">
      <c r="A45" s="6" t="e">
        <f aca="true">INDIRECT("'Ответы на форму (1)'!A"&amp;$L45,TRUE())</f>
        <v>#REF!</v>
      </c>
      <c r="B45" s="7" t="e">
        <f aca="true">INDIRECT("'Ответы на форму (1)'!B"&amp;$L45,TRUE())</f>
        <v>#REF!</v>
      </c>
      <c r="C45" s="7" t="e">
        <f aca="true">INDIRECT("'Ответы на форму (1)'!C"&amp;$L45,TRUE())</f>
        <v>#REF!</v>
      </c>
      <c r="D45" s="7" t="e">
        <f aca="true">INDIRECT("'Ответы на форму (1)'!D"&amp;$L45,TRUE())</f>
        <v>#REF!</v>
      </c>
      <c r="E45" s="7" t="n">
        <f aca="false">IFERROR(__xludf.dummyfunction("iferror(VALUE(REGEXEXTRACT(TEXT(INDIRECT(""'Ответы на форму (1)'!E""&amp;$L45,TRUE),""####""),""[0-9]+"")),INDIRECT(""'Ответы на форму (1)'!E""&amp;$L45,TRUE))"),117)</f>
        <v>117</v>
      </c>
      <c r="F45" s="7" t="e">
        <f aca="true">INDIRECT("'Ответы на форму (1)'!F"&amp;$L45,TRUE())</f>
        <v>#REF!</v>
      </c>
      <c r="G45" s="7" t="e">
        <f aca="true">IFERROR(MID(INDIRECT("'Ответы на форму (1)'!G"&amp;$L45,TRUE()),SEARCH("vk.com",INDIRECT("'Ответы на форму (1)'!G"&amp;$L45,TRUE())),LEN(INDIRECT("'Ответы на форму (1)'!G"&amp;$L45,TRUE()))),INDIRECT("'Ответы на форму (1)'!G"&amp;$L45,TRUE()))</f>
        <v>#REF!</v>
      </c>
      <c r="H45" s="7" t="e">
        <f aca="true">INDIRECT("'Ответы на форму (1)'!H"&amp;$L45,TRUE())</f>
        <v>#REF!</v>
      </c>
      <c r="I45" s="7" t="e">
        <f aca="true">INDIRECT("'Ответы на форму (1)'!I"&amp;$L45,TRUE())</f>
        <v>#REF!</v>
      </c>
      <c r="J45" s="7" t="e">
        <f aca="true">INDIRECT("'Ответы на форму (1)'!J"&amp;$L45,TRUE())</f>
        <v>#REF!</v>
      </c>
      <c r="K45" s="7" t="e">
        <f aca="false" t="array" ref="K45:K45">IF(COUNTIF(concat(TRIM('Список прошлого года'!$B$2:$B$200),TRIM('Список прошлого года'!$C$2:$C$200)),concat(TRIM(B45),TRIM(C45))) &gt; 0,IF(concat(TRIM(B45),TRIM(C45)) = "","","Да"),"Нет")</f>
        <v>#NAME?</v>
      </c>
      <c r="L45" s="5" t="n">
        <v>57</v>
      </c>
      <c r="M45" s="5" t="n">
        <v>2</v>
      </c>
      <c r="N45" s="7"/>
      <c r="O45" s="0" t="s">
        <v>22</v>
      </c>
      <c r="P45" s="7"/>
      <c r="Q45" s="5" t="n">
        <v>1</v>
      </c>
      <c r="R45" s="5" t="n">
        <v>1</v>
      </c>
      <c r="S45" s="5" t="n">
        <v>1</v>
      </c>
      <c r="T45" s="5" t="n">
        <v>1</v>
      </c>
      <c r="U45" s="5" t="n">
        <v>1</v>
      </c>
      <c r="V45" s="7"/>
      <c r="W45" s="7"/>
      <c r="X45" s="7"/>
      <c r="Y45" s="7"/>
      <c r="Z45" s="7"/>
    </row>
    <row r="46" customFormat="false" ht="15.75" hidden="false" customHeight="false" outlineLevel="0" collapsed="false">
      <c r="A46" s="11" t="e">
        <f aca="true">INDIRECT("'Ответы на форму (1)'!A"&amp;$L46,TRUE())</f>
        <v>#REF!</v>
      </c>
      <c r="B46" s="0" t="e">
        <f aca="true">INDIRECT("'Ответы на форму (1)'!B"&amp;$L46,TRUE())</f>
        <v>#REF!</v>
      </c>
      <c r="C46" s="0" t="e">
        <f aca="true">INDIRECT("'Ответы на форму (1)'!C"&amp;$L46,TRUE())</f>
        <v>#REF!</v>
      </c>
      <c r="D46" s="0" t="e">
        <f aca="true">INDIRECT("'Ответы на форму (1)'!D"&amp;$L46,TRUE())</f>
        <v>#REF!</v>
      </c>
      <c r="E46" s="0" t="n">
        <f aca="false">IFERROR(__xludf.dummyfunction("iferror(VALUE(REGEXEXTRACT(TEXT(INDIRECT(""'Ответы на форму (1)'!E""&amp;$L46,TRUE),""####""),""[0-9]+"")),INDIRECT(""'Ответы на форму (1)'!E""&amp;$L46,TRUE))"),63)</f>
        <v>63</v>
      </c>
      <c r="F46" s="0" t="e">
        <f aca="true">INDIRECT("'Ответы на форму (1)'!F"&amp;$L46,TRUE())</f>
        <v>#REF!</v>
      </c>
      <c r="G46" s="12" t="e">
        <f aca="true">IFERROR(MID(INDIRECT("'Ответы на форму (1)'!G"&amp;$L46,TRUE()),SEARCH("vk.com",INDIRECT("'Ответы на форму (1)'!G"&amp;$L46,TRUE())),LEN(INDIRECT("'Ответы на форму (1)'!G"&amp;$L46,TRUE()))),INDIRECT("'Ответы на форму (1)'!G"&amp;$L46,TRUE()))</f>
        <v>#REF!</v>
      </c>
      <c r="H46" s="0" t="e">
        <f aca="true">INDIRECT("'Ответы на форму (1)'!H"&amp;$L46,TRUE())</f>
        <v>#REF!</v>
      </c>
      <c r="I46" s="0" t="e">
        <f aca="true">INDIRECT("'Ответы на форму (1)'!I"&amp;$L46,TRUE())</f>
        <v>#REF!</v>
      </c>
      <c r="J46" s="0" t="e">
        <f aca="true">INDIRECT("'Ответы на форму (1)'!J"&amp;$L46,TRUE())</f>
        <v>#REF!</v>
      </c>
      <c r="K46" s="0" t="e">
        <f aca="false" t="array" ref="K46:K46">IF(COUNTIF(concat(TRIM('Список прошлого года'!$B$2:$B$200),TRIM('Список прошлого года'!$C$2:$C$200)),concat(TRIM(B46),TRIM(C46))) &gt; 0,IF(concat(TRIM(B46),TRIM(C46)) = "","","Да"),"Нет")</f>
        <v>#NAME?</v>
      </c>
      <c r="L46" s="1" t="n">
        <v>59</v>
      </c>
      <c r="M46" s="1" t="n">
        <v>2</v>
      </c>
      <c r="O46" s="7" t="s">
        <v>50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</row>
    <row r="47" customFormat="false" ht="15.75" hidden="false" customHeight="false" outlineLevel="0" collapsed="false">
      <c r="A47" s="11" t="e">
        <f aca="true">INDIRECT("'Ответы на форму (1)'!A"&amp;$L47,TRUE())</f>
        <v>#REF!</v>
      </c>
      <c r="B47" s="0" t="e">
        <f aca="true">INDIRECT("'Ответы на форму (1)'!B"&amp;$L47,TRUE())</f>
        <v>#REF!</v>
      </c>
      <c r="C47" s="0" t="e">
        <f aca="true">INDIRECT("'Ответы на форму (1)'!C"&amp;$L47,TRUE())</f>
        <v>#REF!</v>
      </c>
      <c r="D47" s="0" t="e">
        <f aca="true">INDIRECT("'Ответы на форму (1)'!D"&amp;$L47,TRUE())</f>
        <v>#REF!</v>
      </c>
      <c r="E47" s="0" t="n">
        <f aca="false">IFERROR(__xludf.dummyfunction("iferror(VALUE(REGEXEXTRACT(TEXT(INDIRECT(""'Ответы на форму (1)'!E""&amp;$L47,TRUE),""####""),""[0-9]+"")),INDIRECT(""'Ответы на форму (1)'!E""&amp;$L47,TRUE))"),117)</f>
        <v>117</v>
      </c>
      <c r="F47" s="0" t="e">
        <f aca="true">INDIRECT("'Ответы на форму (1)'!F"&amp;$L47,TRUE())</f>
        <v>#REF!</v>
      </c>
      <c r="G47" s="0" t="e">
        <f aca="true">IFERROR(MID(INDIRECT("'Ответы на форму (1)'!G"&amp;$L47,TRUE()),SEARCH("vk.com",INDIRECT("'Ответы на форму (1)'!G"&amp;$L47,TRUE())),LEN(INDIRECT("'Ответы на форму (1)'!G"&amp;$L47,TRUE()))),INDIRECT("'Ответы на форму (1)'!G"&amp;$L47,TRUE()))</f>
        <v>#REF!</v>
      </c>
      <c r="H47" s="0" t="e">
        <f aca="true">INDIRECT("'Ответы на форму (1)'!H"&amp;$L47,TRUE())</f>
        <v>#REF!</v>
      </c>
      <c r="I47" s="0" t="e">
        <f aca="true">INDIRECT("'Ответы на форму (1)'!I"&amp;$L47,TRUE())</f>
        <v>#REF!</v>
      </c>
      <c r="J47" s="0" t="e">
        <f aca="true">INDIRECT("'Ответы на форму (1)'!J"&amp;$L47,TRUE())</f>
        <v>#REF!</v>
      </c>
      <c r="K47" s="0" t="e">
        <f aca="false" t="array" ref="K47:K47">IF(COUNTIF(concat(TRIM('Список прошлого года'!$B$2:$B$200),TRIM('Список прошлого года'!$C$2:$C$200)),concat(TRIM(B47),TRIM(C47))) &gt; 0,IF(concat(TRIM(B47),TRIM(C47)) = "","","Да"),"Нет")</f>
        <v>#NAME?</v>
      </c>
      <c r="L47" s="1" t="n">
        <v>60</v>
      </c>
      <c r="M47" s="1" t="n">
        <v>2</v>
      </c>
      <c r="O47" s="1" t="s">
        <v>15</v>
      </c>
      <c r="Q47" s="1" t="n">
        <v>1</v>
      </c>
      <c r="R47" s="1" t="n">
        <v>0</v>
      </c>
      <c r="S47" s="1" t="n">
        <v>1</v>
      </c>
      <c r="T47" s="1" t="n">
        <v>0</v>
      </c>
      <c r="U47" s="1" t="n">
        <v>0</v>
      </c>
    </row>
    <row r="48" customFormat="false" ht="15.75" hidden="false" customHeight="false" outlineLevel="0" collapsed="false">
      <c r="A48" s="11" t="e">
        <f aca="true">INDIRECT("'Ответы на форму (1)'!A"&amp;$L48,TRUE())</f>
        <v>#REF!</v>
      </c>
      <c r="B48" s="0" t="e">
        <f aca="true">INDIRECT("'Ответы на форму (1)'!B"&amp;$L48,TRUE())</f>
        <v>#REF!</v>
      </c>
      <c r="C48" s="0" t="e">
        <f aca="true">INDIRECT("'Ответы на форму (1)'!C"&amp;$L48,TRUE())</f>
        <v>#REF!</v>
      </c>
      <c r="D48" s="0" t="e">
        <f aca="true">INDIRECT("'Ответы на форму (1)'!D"&amp;$L48,TRUE())</f>
        <v>#REF!</v>
      </c>
      <c r="E48" s="0" t="n">
        <f aca="false">IFERROR(__xludf.dummyfunction("iferror(VALUE(REGEXEXTRACT(TEXT(INDIRECT(""'Ответы на форму (1)'!E""&amp;$L48,TRUE),""####""),""[0-9]+"")),INDIRECT(""'Ответы на форму (1)'!E""&amp;$L48,TRUE))"),64)</f>
        <v>64</v>
      </c>
      <c r="F48" s="0" t="e">
        <f aca="true">INDIRECT("'Ответы на форму (1)'!F"&amp;$L48,TRUE())</f>
        <v>#REF!</v>
      </c>
      <c r="G48" s="12" t="e">
        <f aca="true">IFERROR(MID(INDIRECT("'Ответы на форму (1)'!G"&amp;$L48,TRUE()),SEARCH("vk.com",INDIRECT("'Ответы на форму (1)'!G"&amp;$L48,TRUE())),LEN(INDIRECT("'Ответы на форму (1)'!G"&amp;$L48,TRUE()))),INDIRECT("'Ответы на форму (1)'!G"&amp;$L48,TRUE()))</f>
        <v>#REF!</v>
      </c>
      <c r="H48" s="0" t="e">
        <f aca="true">INDIRECT("'Ответы на форму (1)'!H"&amp;$L48,TRUE())</f>
        <v>#REF!</v>
      </c>
      <c r="I48" s="0" t="e">
        <f aca="true">INDIRECT("'Ответы на форму (1)'!I"&amp;$L48,TRUE())</f>
        <v>#REF!</v>
      </c>
      <c r="J48" s="0" t="e">
        <f aca="true">INDIRECT("'Ответы на форму (1)'!J"&amp;$L48,TRUE())</f>
        <v>#REF!</v>
      </c>
      <c r="K48" s="0" t="e">
        <f aca="false" t="array" ref="K48:K48">IF(COUNTIF(concat(TRIM('Список прошлого года'!$B$2:$B$200),TRIM('Список прошлого года'!$C$2:$C$200)),concat(TRIM(B48),TRIM(C48))) &gt; 0,IF(concat(TRIM(B48),TRIM(C48)) = "","","Да"),"Нет")</f>
        <v>#NAME?</v>
      </c>
      <c r="L48" s="1" t="n">
        <v>61</v>
      </c>
      <c r="M48" s="1" t="n">
        <v>-1</v>
      </c>
    </row>
    <row r="49" customFormat="false" ht="15.75" hidden="false" customHeight="false" outlineLevel="0" collapsed="false">
      <c r="A49" s="11" t="e">
        <f aca="true">INDIRECT("'Ответы на форму (1)'!A"&amp;$L49,TRUE())</f>
        <v>#REF!</v>
      </c>
      <c r="B49" s="0" t="e">
        <f aca="true">INDIRECT("'Ответы на форму (1)'!B"&amp;$L49,TRUE())</f>
        <v>#REF!</v>
      </c>
      <c r="C49" s="0" t="e">
        <f aca="true">INDIRECT("'Ответы на форму (1)'!C"&amp;$L49,TRUE())</f>
        <v>#REF!</v>
      </c>
      <c r="D49" s="0" t="e">
        <f aca="true">INDIRECT("'Ответы на форму (1)'!D"&amp;$L49,TRUE())</f>
        <v>#REF!</v>
      </c>
      <c r="E49" s="0" t="n">
        <f aca="false">IFERROR(__xludf.dummyfunction("iferror(VALUE(REGEXEXTRACT(TEXT(INDIRECT(""'Ответы на форму (1)'!E""&amp;$L49,TRUE),""####""),""[0-9]+"")),INDIRECT(""'Ответы на форму (1)'!E""&amp;$L49,TRUE))"),117)</f>
        <v>117</v>
      </c>
      <c r="F49" s="0" t="e">
        <f aca="true">INDIRECT("'Ответы на форму (1)'!F"&amp;$L49,TRUE())</f>
        <v>#REF!</v>
      </c>
      <c r="G49" s="12" t="e">
        <f aca="true">IFERROR(MID(INDIRECT("'Ответы на форму (1)'!G"&amp;$L49,TRUE()),SEARCH("vk.com",INDIRECT("'Ответы на форму (1)'!G"&amp;$L49,TRUE())),LEN(INDIRECT("'Ответы на форму (1)'!G"&amp;$L49,TRUE()))),INDIRECT("'Ответы на форму (1)'!G"&amp;$L49,TRUE()))</f>
        <v>#REF!</v>
      </c>
      <c r="H49" s="0" t="e">
        <f aca="true">INDIRECT("'Ответы на форму (1)'!H"&amp;$L49,TRUE())</f>
        <v>#REF!</v>
      </c>
      <c r="I49" s="0" t="e">
        <f aca="true">INDIRECT("'Ответы на форму (1)'!I"&amp;$L49,TRUE())</f>
        <v>#REF!</v>
      </c>
      <c r="J49" s="0" t="e">
        <f aca="true">INDIRECT("'Ответы на форму (1)'!J"&amp;$L49,TRUE())</f>
        <v>#REF!</v>
      </c>
      <c r="K49" s="0" t="e">
        <f aca="false" t="array" ref="K49:K49">IF(COUNTIF(concat(TRIM('Список прошлого года'!$B$2:$B$200),TRIM('Список прошлого года'!$C$2:$C$200)),concat(TRIM(B49),TRIM(C49))) &gt; 0,IF(concat(TRIM(B49),TRIM(C49)) = "","","Да"),"Нет")</f>
        <v>#NAME?</v>
      </c>
      <c r="L49" s="1" t="n">
        <v>63</v>
      </c>
      <c r="M49" s="1" t="n">
        <v>2</v>
      </c>
      <c r="O49" s="0" t="s">
        <v>40</v>
      </c>
      <c r="Q49" s="1" t="n">
        <v>0</v>
      </c>
      <c r="R49" s="1" t="n">
        <v>1</v>
      </c>
      <c r="S49" s="1" t="n">
        <v>1</v>
      </c>
      <c r="T49" s="1" t="n">
        <v>0</v>
      </c>
    </row>
    <row r="50" customFormat="false" ht="15.75" hidden="false" customHeight="false" outlineLevel="0" collapsed="false">
      <c r="A50" s="6" t="e">
        <f aca="true">INDIRECT("'Ответы на форму (1)'!A"&amp;$L50,TRUE())</f>
        <v>#REF!</v>
      </c>
      <c r="B50" s="7" t="e">
        <f aca="true">INDIRECT("'Ответы на форму (1)'!B"&amp;$L50,TRUE())</f>
        <v>#REF!</v>
      </c>
      <c r="C50" s="7" t="e">
        <f aca="true">INDIRECT("'Ответы на форму (1)'!C"&amp;$L50,TRUE())</f>
        <v>#REF!</v>
      </c>
      <c r="D50" s="7" t="e">
        <f aca="true">INDIRECT("'Ответы на форму (1)'!D"&amp;$L50,TRUE())</f>
        <v>#REF!</v>
      </c>
      <c r="E50" s="7" t="n">
        <f aca="false">IFERROR(__xludf.dummyfunction("iferror(VALUE(REGEXEXTRACT(TEXT(INDIRECT(""'Ответы на форму (1)'!E""&amp;$L50,TRUE),""####""),""[0-9]+"")),INDIRECT(""'Ответы на форму (1)'!E""&amp;$L50,TRUE))"),64)</f>
        <v>64</v>
      </c>
      <c r="F50" s="7" t="e">
        <f aca="true">INDIRECT("'Ответы на форму (1)'!F"&amp;$L50,TRUE())</f>
        <v>#REF!</v>
      </c>
      <c r="G50" s="8" t="e">
        <f aca="true">IFERROR(MID(INDIRECT("'Ответы на форму (1)'!G"&amp;$L50,TRUE()),SEARCH("vk.com",INDIRECT("'Ответы на форму (1)'!G"&amp;$L50,TRUE())),LEN(INDIRECT("'Ответы на форму (1)'!G"&amp;$L50,TRUE()))),INDIRECT("'Ответы на форму (1)'!G"&amp;$L50,TRUE()))</f>
        <v>#REF!</v>
      </c>
      <c r="H50" s="7" t="e">
        <f aca="true">INDIRECT("'Ответы на форму (1)'!H"&amp;$L50,TRUE())</f>
        <v>#REF!</v>
      </c>
      <c r="I50" s="7" t="e">
        <f aca="true">INDIRECT("'Ответы на форму (1)'!I"&amp;$L50,TRUE())</f>
        <v>#REF!</v>
      </c>
      <c r="J50" s="7" t="e">
        <f aca="true">INDIRECT("'Ответы на форму (1)'!J"&amp;$L50,TRUE())</f>
        <v>#REF!</v>
      </c>
      <c r="K50" s="7" t="e">
        <f aca="false" t="array" ref="K50:K50">IF(COUNTIF(concat(TRIM('Список прошлого года'!$B$2:$B$200),TRIM('Список прошлого года'!$C$2:$C$200)),concat(TRIM(B50),TRIM(C50))) &gt; 0,IF(concat(TRIM(B50),TRIM(C50)) = "","","Да"),"Нет")</f>
        <v>#NAME?</v>
      </c>
      <c r="L50" s="5" t="n">
        <v>64</v>
      </c>
      <c r="M50" s="5" t="n">
        <v>2</v>
      </c>
      <c r="N50" s="7"/>
      <c r="O50" s="7" t="s">
        <v>50</v>
      </c>
      <c r="P50" s="7"/>
      <c r="Q50" s="5" t="n">
        <v>1</v>
      </c>
      <c r="R50" s="5" t="n">
        <v>1</v>
      </c>
      <c r="S50" s="5" t="n">
        <v>1</v>
      </c>
      <c r="T50" s="5" t="n">
        <v>1</v>
      </c>
      <c r="U50" s="5" t="n">
        <v>1</v>
      </c>
      <c r="V50" s="7"/>
      <c r="W50" s="7"/>
      <c r="X50" s="7"/>
      <c r="Y50" s="7"/>
      <c r="Z50" s="7"/>
    </row>
    <row r="51" customFormat="false" ht="15.75" hidden="false" customHeight="false" outlineLevel="0" collapsed="false">
      <c r="A51" s="11" t="e">
        <f aca="true">INDIRECT("'Ответы на форму (1)'!A"&amp;$L51,TRUE())</f>
        <v>#REF!</v>
      </c>
      <c r="B51" s="0" t="e">
        <f aca="true">INDIRECT("'Ответы на форму (1)'!B"&amp;$L51,TRUE())</f>
        <v>#REF!</v>
      </c>
      <c r="C51" s="0" t="e">
        <f aca="true">INDIRECT("'Ответы на форму (1)'!C"&amp;$L51,TRUE())</f>
        <v>#REF!</v>
      </c>
      <c r="D51" s="0" t="e">
        <f aca="true">INDIRECT("'Ответы на форму (1)'!D"&amp;$L51,TRUE())</f>
        <v>#REF!</v>
      </c>
      <c r="E51" s="0" t="n">
        <f aca="false">IFERROR(__xludf.dummyfunction("iferror(VALUE(REGEXEXTRACT(TEXT(INDIRECT(""'Ответы на форму (1)'!E""&amp;$L51,TRUE),""####""),""[0-9]+"")),INDIRECT(""'Ответы на форму (1)'!E""&amp;$L51,TRUE))"),149)</f>
        <v>149</v>
      </c>
      <c r="F51" s="0" t="e">
        <f aca="true">INDIRECT("'Ответы на форму (1)'!F"&amp;$L51,TRUE())</f>
        <v>#REF!</v>
      </c>
      <c r="G51" s="12" t="e">
        <f aca="true">IFERROR(MID(INDIRECT("'Ответы на форму (1)'!G"&amp;$L51,TRUE()),SEARCH("vk.com",INDIRECT("'Ответы на форму (1)'!G"&amp;$L51,TRUE())),LEN(INDIRECT("'Ответы на форму (1)'!G"&amp;$L51,TRUE()))),INDIRECT("'Ответы на форму (1)'!G"&amp;$L51,TRUE()))</f>
        <v>#REF!</v>
      </c>
      <c r="H51" s="0" t="e">
        <f aca="true">INDIRECT("'Ответы на форму (1)'!H"&amp;$L51,TRUE())</f>
        <v>#REF!</v>
      </c>
      <c r="I51" s="0" t="e">
        <f aca="true">INDIRECT("'Ответы на форму (1)'!I"&amp;$L51,TRUE())</f>
        <v>#REF!</v>
      </c>
      <c r="J51" s="0" t="e">
        <f aca="true">INDIRECT("'Ответы на форму (1)'!J"&amp;$L51,TRUE())</f>
        <v>#REF!</v>
      </c>
      <c r="K51" s="0" t="e">
        <f aca="false" t="array" ref="K51:K51">IF(COUNTIF(concat(TRIM('Список прошлого года'!$B$2:$B$200),TRIM('Список прошлого года'!$C$2:$C$200)),concat(TRIM(B51),TRIM(C51))) &gt; 0,IF(concat(TRIM(B51),TRIM(C51)) = "","","Да"),"Нет")</f>
        <v>#NAME?</v>
      </c>
      <c r="L51" s="1" t="n">
        <v>65</v>
      </c>
      <c r="M51" s="1" t="n">
        <v>2</v>
      </c>
      <c r="O51" s="1" t="s">
        <v>14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</row>
    <row r="52" customFormat="false" ht="15.75" hidden="false" customHeight="false" outlineLevel="0" collapsed="false">
      <c r="A52" s="11" t="e">
        <f aca="true">INDIRECT("'Ответы на форму (1)'!A"&amp;$L52,TRUE())</f>
        <v>#REF!</v>
      </c>
      <c r="B52" s="0" t="e">
        <f aca="true">INDIRECT("'Ответы на форму (1)'!B"&amp;$L52,TRUE())</f>
        <v>#REF!</v>
      </c>
      <c r="C52" s="0" t="e">
        <f aca="true">INDIRECT("'Ответы на форму (1)'!C"&amp;$L52,TRUE())</f>
        <v>#REF!</v>
      </c>
      <c r="D52" s="0" t="e">
        <f aca="true">INDIRECT("'Ответы на форму (1)'!D"&amp;$L52,TRUE())</f>
        <v>#REF!</v>
      </c>
      <c r="E52" s="0" t="n">
        <f aca="false">IFERROR(__xludf.dummyfunction("iferror(VALUE(REGEXEXTRACT(TEXT(INDIRECT(""'Ответы на форму (1)'!E""&amp;$L52,TRUE),""####""),""[0-9]+"")),INDIRECT(""'Ответы на форму (1)'!E""&amp;$L52,TRUE))"),146)</f>
        <v>146</v>
      </c>
      <c r="F52" s="0" t="e">
        <f aca="true">INDIRECT("'Ответы на форму (1)'!F"&amp;$L52,TRUE())</f>
        <v>#REF!</v>
      </c>
      <c r="G52" s="12" t="e">
        <f aca="true">IFERROR(MID(INDIRECT("'Ответы на форму (1)'!G"&amp;$L52,TRUE()),SEARCH("vk.com",INDIRECT("'Ответы на форму (1)'!G"&amp;$L52,TRUE())),LEN(INDIRECT("'Ответы на форму (1)'!G"&amp;$L52,TRUE()))),INDIRECT("'Ответы на форму (1)'!G"&amp;$L52,TRUE()))</f>
        <v>#REF!</v>
      </c>
      <c r="H52" s="0" t="e">
        <f aca="true">INDIRECT("'Ответы на форму (1)'!H"&amp;$L52,TRUE())</f>
        <v>#REF!</v>
      </c>
      <c r="I52" s="0" t="e">
        <f aca="true">INDIRECT("'Ответы на форму (1)'!I"&amp;$L52,TRUE())</f>
        <v>#REF!</v>
      </c>
      <c r="J52" s="0" t="e">
        <f aca="true">INDIRECT("'Ответы на форму (1)'!J"&amp;$L52,TRUE())</f>
        <v>#REF!</v>
      </c>
      <c r="K52" s="0" t="e">
        <f aca="false" t="array" ref="K52:K52">IF(COUNTIF(concat(TRIM('Список прошлого года'!$B$2:$B$200),TRIM('Список прошлого года'!$C$2:$C$200)),concat(TRIM(B52),TRIM(C52))) &gt; 0,IF(concat(TRIM(B52),TRIM(C52)) = "","","Да"),"Нет")</f>
        <v>#NAME?</v>
      </c>
      <c r="L52" s="1" t="n">
        <v>66</v>
      </c>
      <c r="M52" s="1" t="n">
        <v>2</v>
      </c>
      <c r="O52" s="1" t="s">
        <v>14</v>
      </c>
      <c r="Q52" s="1" t="n">
        <v>1</v>
      </c>
      <c r="R52" s="1" t="n">
        <v>1</v>
      </c>
      <c r="S52" s="1" t="n">
        <v>1</v>
      </c>
      <c r="T52" s="1" t="n">
        <v>1</v>
      </c>
      <c r="U52" s="1" t="n">
        <v>1</v>
      </c>
    </row>
    <row r="53" customFormat="false" ht="15.75" hidden="false" customHeight="false" outlineLevel="0" collapsed="false">
      <c r="A53" s="6" t="e">
        <f aca="true">INDIRECT("'Ответы на форму (1)'!A"&amp;$L53,TRUE())</f>
        <v>#REF!</v>
      </c>
      <c r="B53" s="7" t="e">
        <f aca="true">INDIRECT("'Ответы на форму (1)'!B"&amp;$L53,TRUE())</f>
        <v>#REF!</v>
      </c>
      <c r="C53" s="7" t="e">
        <f aca="true">INDIRECT("'Ответы на форму (1)'!C"&amp;$L53,TRUE())</f>
        <v>#REF!</v>
      </c>
      <c r="D53" s="7" t="e">
        <f aca="true">INDIRECT("'Ответы на форму (1)'!D"&amp;$L53,TRUE())</f>
        <v>#REF!</v>
      </c>
      <c r="E53" s="7" t="str">
        <f aca="false">IFERROR(__xludf.dummyfunction("iferror(VALUE(REGEXEXTRACT(TEXT(INDIRECT(""'Ответы на форму (1)'!E""&amp;$L53,TRUE),""####""),""[0-9]+"")),INDIRECT(""'Ответы на форму (1)'!E""&amp;$L53,TRUE))"),"БПОУ «Омавиат»")</f>
        <v>БПОУ «Омавиат»</v>
      </c>
      <c r="F53" s="7" t="e">
        <f aca="true">INDIRECT("'Ответы на форму (1)'!F"&amp;$L53,TRUE())</f>
        <v>#REF!</v>
      </c>
      <c r="G53" s="8" t="e">
        <f aca="true">IFERROR(MID(INDIRECT("'Ответы на форму (1)'!G"&amp;$L53,TRUE()),SEARCH("vk.com",INDIRECT("'Ответы на форму (1)'!G"&amp;$L53,TRUE())),LEN(INDIRECT("'Ответы на форму (1)'!G"&amp;$L53,TRUE()))),INDIRECT("'Ответы на форму (1)'!G"&amp;$L53,TRUE()))</f>
        <v>#REF!</v>
      </c>
      <c r="H53" s="7" t="e">
        <f aca="true">INDIRECT("'Ответы на форму (1)'!H"&amp;$L53,TRUE())</f>
        <v>#REF!</v>
      </c>
      <c r="I53" s="7" t="e">
        <f aca="true">INDIRECT("'Ответы на форму (1)'!I"&amp;$L53,TRUE())</f>
        <v>#REF!</v>
      </c>
      <c r="J53" s="7" t="e">
        <f aca="true">INDIRECT("'Ответы на форму (1)'!J"&amp;$L53,TRUE())</f>
        <v>#REF!</v>
      </c>
      <c r="K53" s="7" t="e">
        <f aca="false" t="array" ref="K53:K53">IF(COUNTIF(concat(TRIM('Список прошлого года'!$B$2:$B$200),TRIM('Список прошлого года'!$C$2:$C$200)),concat(TRIM(B53),TRIM(C53))) &gt; 0,IF(concat(TRIM(B53),TRIM(C53)) = "","","Да"),"Нет")</f>
        <v>#NAME?</v>
      </c>
      <c r="L53" s="5" t="n">
        <v>67</v>
      </c>
      <c r="M53" s="5" t="n">
        <v>2</v>
      </c>
      <c r="N53" s="7"/>
      <c r="O53" s="7" t="s">
        <v>70</v>
      </c>
      <c r="P53" s="7"/>
      <c r="Q53" s="5" t="n">
        <v>1</v>
      </c>
      <c r="R53" s="5" t="n">
        <v>1</v>
      </c>
      <c r="S53" s="5" t="n">
        <v>1</v>
      </c>
      <c r="T53" s="5" t="n">
        <v>1</v>
      </c>
      <c r="U53" s="5" t="n">
        <v>1</v>
      </c>
      <c r="V53" s="7"/>
      <c r="W53" s="7"/>
      <c r="X53" s="7"/>
      <c r="Y53" s="7"/>
      <c r="Z53" s="7"/>
    </row>
    <row r="54" customFormat="false" ht="15.75" hidden="false" customHeight="false" outlineLevel="0" collapsed="false">
      <c r="A54" s="11" t="e">
        <f aca="true">INDIRECT("'Ответы на форму (1)'!A"&amp;$L54,TRUE())</f>
        <v>#REF!</v>
      </c>
      <c r="B54" s="0" t="e">
        <f aca="true">INDIRECT("'Ответы на форму (1)'!B"&amp;$L54,TRUE())</f>
        <v>#REF!</v>
      </c>
      <c r="C54" s="0" t="e">
        <f aca="true">INDIRECT("'Ответы на форму (1)'!C"&amp;$L54,TRUE())</f>
        <v>#REF!</v>
      </c>
      <c r="D54" s="0" t="e">
        <f aca="true">INDIRECT("'Ответы на форму (1)'!D"&amp;$L54,TRUE())</f>
        <v>#REF!</v>
      </c>
      <c r="E54" s="0" t="n">
        <f aca="false">IFERROR(__xludf.dummyfunction("iferror(VALUE(REGEXEXTRACT(TEXT(INDIRECT(""'Ответы на форму (1)'!E""&amp;$L54,TRUE),""####""),""[0-9]+"")),INDIRECT(""'Ответы на форму (1)'!E""&amp;$L54,TRUE))"),19)</f>
        <v>19</v>
      </c>
      <c r="F54" s="0" t="e">
        <f aca="true">INDIRECT("'Ответы на форму (1)'!F"&amp;$L54,TRUE())</f>
        <v>#REF!</v>
      </c>
      <c r="G54" s="0" t="e">
        <f aca="true">IFERROR(MID(INDIRECT("'Ответы на форму (1)'!G"&amp;$L54,TRUE()),SEARCH("vk.com",INDIRECT("'Ответы на форму (1)'!G"&amp;$L54,TRUE())),LEN(INDIRECT("'Ответы на форму (1)'!G"&amp;$L54,TRUE()))),INDIRECT("'Ответы на форму (1)'!G"&amp;$L54,TRUE()))</f>
        <v>#REF!</v>
      </c>
      <c r="H54" s="0" t="e">
        <f aca="true">INDIRECT("'Ответы на форму (1)'!H"&amp;$L54,TRUE())</f>
        <v>#REF!</v>
      </c>
      <c r="I54" s="0" t="e">
        <f aca="true">INDIRECT("'Ответы на форму (1)'!I"&amp;$L54,TRUE())</f>
        <v>#REF!</v>
      </c>
      <c r="J54" s="0" t="e">
        <f aca="true">INDIRECT("'Ответы на форму (1)'!J"&amp;$L54,TRUE())</f>
        <v>#REF!</v>
      </c>
      <c r="K54" s="0" t="e">
        <f aca="false" t="array" ref="K54:K54">IF(COUNTIF(concat(TRIM('Список прошлого года'!$B$2:$B$200),TRIM('Список прошлого года'!$C$2:$C$200)),concat(TRIM(B54),TRIM(C54))) &gt; 0,IF(concat(TRIM(B54),TRIM(C54)) = "","","Да"),"Нет")</f>
        <v>#NAME?</v>
      </c>
      <c r="L54" s="1" t="n">
        <v>68</v>
      </c>
      <c r="M54" s="1" t="n">
        <v>1</v>
      </c>
      <c r="O54" s="1" t="s">
        <v>15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</row>
    <row r="55" customFormat="false" ht="15.75" hidden="false" customHeight="false" outlineLevel="0" collapsed="false">
      <c r="A55" s="11" t="e">
        <f aca="true">INDIRECT("'Ответы на форму (1)'!A"&amp;$L55,TRUE())</f>
        <v>#REF!</v>
      </c>
      <c r="B55" s="0" t="e">
        <f aca="true">INDIRECT("'Ответы на форму (1)'!B"&amp;$L55,TRUE())</f>
        <v>#REF!</v>
      </c>
      <c r="C55" s="0" t="e">
        <f aca="true">INDIRECT("'Ответы на форму (1)'!C"&amp;$L55,TRUE())</f>
        <v>#REF!</v>
      </c>
      <c r="D55" s="0" t="e">
        <f aca="true">INDIRECT("'Ответы на форму (1)'!D"&amp;$L55,TRUE())</f>
        <v>#REF!</v>
      </c>
      <c r="E55" s="0" t="str">
        <f aca="false">IFERROR(__xludf.dummyfunction("iferror(VALUE(REGEXEXTRACT(TEXT(INDIRECT(""'Ответы на форму (1)'!E""&amp;$L55,TRUE),""####""),""[0-9]+"")),INDIRECT(""'Ответы на форму (1)'!E""&amp;$L55,TRUE))"),"Академический лицей при ОМГпУ ")</f>
        <v>Академический лицей при ОМГпУ</v>
      </c>
      <c r="F55" s="0" t="e">
        <f aca="true">INDIRECT("'Ответы на форму (1)'!F"&amp;$L55,TRUE())</f>
        <v>#REF!</v>
      </c>
      <c r="G55" s="12" t="e">
        <f aca="true">IFERROR(MID(INDIRECT("'Ответы на форму (1)'!G"&amp;$L55,TRUE()),SEARCH("vk.com",INDIRECT("'Ответы на форму (1)'!G"&amp;$L55,TRUE())),LEN(INDIRECT("'Ответы на форму (1)'!G"&amp;$L55,TRUE()))),INDIRECT("'Ответы на форму (1)'!G"&amp;$L55,TRUE()))</f>
        <v>#REF!</v>
      </c>
      <c r="H55" s="0" t="e">
        <f aca="true">INDIRECT("'Ответы на форму (1)'!H"&amp;$L55,TRUE())</f>
        <v>#REF!</v>
      </c>
      <c r="I55" s="0" t="e">
        <f aca="true">INDIRECT("'Ответы на форму (1)'!I"&amp;$L55,TRUE())</f>
        <v>#REF!</v>
      </c>
      <c r="J55" s="0" t="e">
        <f aca="true">INDIRECT("'Ответы на форму (1)'!J"&amp;$L55,TRUE())</f>
        <v>#REF!</v>
      </c>
      <c r="K55" s="0" t="e">
        <f aca="false" t="array" ref="K55:K55">IF(COUNTIF(concat(TRIM('Список прошлого года'!$B$2:$B$200),TRIM('Список прошлого года'!$C$2:$C$200)),concat(TRIM(B55),TRIM(C55))) &gt; 0,IF(concat(TRIM(B55),TRIM(C55)) = "","","Да"),"Нет")</f>
        <v>#NAME?</v>
      </c>
      <c r="L55" s="1" t="n">
        <v>69</v>
      </c>
      <c r="M55" s="1" t="n">
        <v>2</v>
      </c>
      <c r="O55" s="1" t="s">
        <v>14</v>
      </c>
      <c r="Q55" s="1" t="n">
        <v>0</v>
      </c>
      <c r="R55" s="1" t="n">
        <v>0</v>
      </c>
      <c r="S55" s="1" t="n">
        <v>1</v>
      </c>
      <c r="T55" s="1" t="n">
        <v>0</v>
      </c>
      <c r="U55" s="1" t="n">
        <v>0</v>
      </c>
    </row>
    <row r="56" customFormat="false" ht="15.75" hidden="false" customHeight="false" outlineLevel="0" collapsed="false">
      <c r="A56" s="11" t="e">
        <f aca="true">INDIRECT("'Ответы на форму (1)'!A"&amp;$L56,TRUE())</f>
        <v>#REF!</v>
      </c>
      <c r="B56" s="0" t="e">
        <f aca="true">INDIRECT("'Ответы на форму (1)'!B"&amp;$L56,TRUE())</f>
        <v>#REF!</v>
      </c>
      <c r="C56" s="0" t="e">
        <f aca="true">INDIRECT("'Ответы на форму (1)'!C"&amp;$L56,TRUE())</f>
        <v>#REF!</v>
      </c>
      <c r="D56" s="0" t="e">
        <f aca="true">INDIRECT("'Ответы на форму (1)'!D"&amp;$L56,TRUE())</f>
        <v>#REF!</v>
      </c>
      <c r="E56" s="0" t="str">
        <f aca="false">IFERROR(__xludf.dummyfunction("iferror(VALUE(REGEXEXTRACT(TEXT(INDIRECT(""'Ответы на форму (1)'!E""&amp;$L56,TRUE),""####""),""[0-9]+"")),INDIRECT(""'Ответы на форму (1)'!E""&amp;$L56,TRUE))"),"Академический лицей при ОМГПУ ")</f>
        <v>Академический лицей при ОМГПУ</v>
      </c>
      <c r="F56" s="0" t="e">
        <f aca="true">INDIRECT("'Ответы на форму (1)'!F"&amp;$L56,TRUE())</f>
        <v>#REF!</v>
      </c>
      <c r="G56" s="12" t="e">
        <f aca="true">IFERROR(MID(INDIRECT("'Ответы на форму (1)'!G"&amp;$L56,TRUE()),SEARCH("vk.com",INDIRECT("'Ответы на форму (1)'!G"&amp;$L56,TRUE())),LEN(INDIRECT("'Ответы на форму (1)'!G"&amp;$L56,TRUE()))),INDIRECT("'Ответы на форму (1)'!G"&amp;$L56,TRUE()))</f>
        <v>#REF!</v>
      </c>
      <c r="H56" s="0" t="e">
        <f aca="true">INDIRECT("'Ответы на форму (1)'!H"&amp;$L56,TRUE())</f>
        <v>#REF!</v>
      </c>
      <c r="I56" s="0" t="e">
        <f aca="true">INDIRECT("'Ответы на форму (1)'!I"&amp;$L56,TRUE())</f>
        <v>#REF!</v>
      </c>
      <c r="J56" s="0" t="e">
        <f aca="true">INDIRECT("'Ответы на форму (1)'!J"&amp;$L56,TRUE())</f>
        <v>#REF!</v>
      </c>
      <c r="K56" s="0" t="e">
        <f aca="false" t="array" ref="K56:K56">IF(COUNTIF(concat(TRIM('Список прошлого года'!$B$2:$B$200),TRIM('Список прошлого года'!$C$2:$C$200)),concat(TRIM(B56),TRIM(C56))) &gt; 0,IF(concat(TRIM(B56),TRIM(C56)) = "","","Да"),"Нет")</f>
        <v>#NAME?</v>
      </c>
      <c r="L56" s="1" t="n">
        <v>70</v>
      </c>
      <c r="M56" s="1" t="n">
        <v>2</v>
      </c>
      <c r="O56" s="1" t="s">
        <v>14</v>
      </c>
      <c r="Q56" s="1" t="n">
        <v>1</v>
      </c>
      <c r="R56" s="1" t="n">
        <v>0</v>
      </c>
      <c r="S56" s="1" t="n">
        <v>1</v>
      </c>
      <c r="T56" s="1" t="n">
        <v>0</v>
      </c>
      <c r="U56" s="1" t="n">
        <v>0</v>
      </c>
    </row>
    <row r="57" customFormat="false" ht="15.75" hidden="false" customHeight="false" outlineLevel="0" collapsed="false">
      <c r="A57" s="11" t="e">
        <f aca="true">INDIRECT("'Ответы на форму (1)'!A"&amp;$L57,TRUE())</f>
        <v>#REF!</v>
      </c>
      <c r="B57" s="0" t="e">
        <f aca="true">INDIRECT("'Ответы на форму (1)'!B"&amp;$L57,TRUE())</f>
        <v>#REF!</v>
      </c>
      <c r="C57" s="0" t="e">
        <f aca="true">INDIRECT("'Ответы на форму (1)'!C"&amp;$L57,TRUE())</f>
        <v>#REF!</v>
      </c>
      <c r="D57" s="0" t="e">
        <f aca="true">INDIRECT("'Ответы на форму (1)'!D"&amp;$L57,TRUE())</f>
        <v>#REF!</v>
      </c>
      <c r="E57" s="0" t="n">
        <f aca="false">IFERROR(__xludf.dummyfunction("iferror(VALUE(REGEXEXTRACT(TEXT(INDIRECT(""'Ответы на форму (1)'!E""&amp;$L57,TRUE),""####""),""[0-9]+"")),INDIRECT(""'Ответы на форму (1)'!E""&amp;$L57,TRUE))"),92)</f>
        <v>92</v>
      </c>
      <c r="F57" s="0" t="e">
        <f aca="true">INDIRECT("'Ответы на форму (1)'!F"&amp;$L57,TRUE())</f>
        <v>#REF!</v>
      </c>
      <c r="G57" s="0" t="e">
        <f aca="true">IFERROR(MID(INDIRECT("'Ответы на форму (1)'!G"&amp;$L57,TRUE()),SEARCH("vk.com",INDIRECT("'Ответы на форму (1)'!G"&amp;$L57,TRUE())),LEN(INDIRECT("'Ответы на форму (1)'!G"&amp;$L57,TRUE()))),INDIRECT("'Ответы на форму (1)'!G"&amp;$L57,TRUE()))</f>
        <v>#REF!</v>
      </c>
      <c r="H57" s="0" t="e">
        <f aca="true">INDIRECT("'Ответы на форму (1)'!H"&amp;$L57,TRUE())</f>
        <v>#REF!</v>
      </c>
      <c r="I57" s="0" t="e">
        <f aca="true">INDIRECT("'Ответы на форму (1)'!I"&amp;$L57,TRUE())</f>
        <v>#REF!</v>
      </c>
      <c r="J57" s="0" t="e">
        <f aca="true">INDIRECT("'Ответы на форму (1)'!J"&amp;$L57,TRUE())</f>
        <v>#REF!</v>
      </c>
      <c r="K57" s="0" t="e">
        <f aca="false" t="array" ref="K57:K57">IF(COUNTIF(concat(TRIM('Список прошлого года'!$B$2:$B$200),TRIM('Список прошлого года'!$C$2:$C$200)),concat(TRIM(B57),TRIM(C57))) &gt; 0,IF(concat(TRIM(B57),TRIM(C57)) = "","","Да"),"Нет")</f>
        <v>#NAME?</v>
      </c>
      <c r="L57" s="1" t="n">
        <v>71</v>
      </c>
      <c r="M57" s="1" t="n">
        <v>2</v>
      </c>
      <c r="O57" s="7" t="s">
        <v>50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</row>
    <row r="58" customFormat="false" ht="15.75" hidden="false" customHeight="false" outlineLevel="0" collapsed="false">
      <c r="A58" s="6" t="e">
        <f aca="true">INDIRECT("'Ответы на форму (1)'!A"&amp;$L58,TRUE())</f>
        <v>#REF!</v>
      </c>
      <c r="B58" s="7" t="e">
        <f aca="true">INDIRECT("'Ответы на форму (1)'!B"&amp;$L58,TRUE())</f>
        <v>#REF!</v>
      </c>
      <c r="C58" s="7" t="e">
        <f aca="true">INDIRECT("'Ответы на форму (1)'!C"&amp;$L58,TRUE())</f>
        <v>#REF!</v>
      </c>
      <c r="D58" s="7" t="e">
        <f aca="true">INDIRECT("'Ответы на форму (1)'!D"&amp;$L58,TRUE())</f>
        <v>#REF!</v>
      </c>
      <c r="E58" s="7" t="n">
        <f aca="false">IFERROR(__xludf.dummyfunction("iferror(VALUE(REGEXEXTRACT(TEXT(INDIRECT(""'Ответы на форму (1)'!E""&amp;$L58,TRUE),""####""),""[0-9]+"")),INDIRECT(""'Ответы на форму (1)'!E""&amp;$L58,TRUE))"),139)</f>
        <v>139</v>
      </c>
      <c r="F58" s="7" t="e">
        <f aca="true">INDIRECT("'Ответы на форму (1)'!F"&amp;$L58,TRUE())</f>
        <v>#REF!</v>
      </c>
      <c r="G58" s="8" t="e">
        <f aca="true">IFERROR(MID(INDIRECT("'Ответы на форму (1)'!G"&amp;$L58,TRUE()),SEARCH("vk.com",INDIRECT("'Ответы на форму (1)'!G"&amp;$L58,TRUE())),LEN(INDIRECT("'Ответы на форму (1)'!G"&amp;$L58,TRUE()))),INDIRECT("'Ответы на форму (1)'!G"&amp;$L58,TRUE()))</f>
        <v>#REF!</v>
      </c>
      <c r="H58" s="7" t="e">
        <f aca="true">INDIRECT("'Ответы на форму (1)'!H"&amp;$L58,TRUE())</f>
        <v>#REF!</v>
      </c>
      <c r="I58" s="7" t="e">
        <f aca="true">INDIRECT("'Ответы на форму (1)'!I"&amp;$L58,TRUE())</f>
        <v>#REF!</v>
      </c>
      <c r="J58" s="7" t="e">
        <f aca="true">INDIRECT("'Ответы на форму (1)'!J"&amp;$L58,TRUE())</f>
        <v>#REF!</v>
      </c>
      <c r="K58" s="7" t="e">
        <f aca="false" t="array" ref="K58:K58">IF(COUNTIF(concat(TRIM('Список прошлого года'!$B$2:$B$200),TRIM('Список прошлого года'!$C$2:$C$200)),concat(TRIM(B58),TRIM(C58))) &gt; 0,IF(concat(TRIM(B58),TRIM(C58)) = "","","Да"),"Нет")</f>
        <v>#NAME?</v>
      </c>
      <c r="L58" s="5" t="n">
        <v>72</v>
      </c>
      <c r="M58" s="5" t="n">
        <v>2</v>
      </c>
      <c r="N58" s="7"/>
      <c r="O58" s="0" t="s">
        <v>40</v>
      </c>
      <c r="P58" s="7"/>
      <c r="Q58" s="5" t="n">
        <v>1</v>
      </c>
      <c r="R58" s="5" t="n">
        <v>1</v>
      </c>
      <c r="S58" s="5" t="n">
        <v>1</v>
      </c>
      <c r="T58" s="5" t="n">
        <v>1</v>
      </c>
      <c r="U58" s="7"/>
      <c r="V58" s="7"/>
      <c r="W58" s="7"/>
      <c r="X58" s="7"/>
      <c r="Y58" s="7"/>
      <c r="Z58" s="7"/>
    </row>
    <row r="59" customFormat="false" ht="15.75" hidden="false" customHeight="false" outlineLevel="0" collapsed="false">
      <c r="A59" s="6" t="e">
        <f aca="true">INDIRECT("'Ответы на форму (1)'!A"&amp;$L59,TRUE())</f>
        <v>#REF!</v>
      </c>
      <c r="B59" s="7" t="e">
        <f aca="true">INDIRECT("'Ответы на форму (1)'!B"&amp;$L59,TRUE())</f>
        <v>#REF!</v>
      </c>
      <c r="C59" s="7" t="e">
        <f aca="true">INDIRECT("'Ответы на форму (1)'!C"&amp;$L59,TRUE())</f>
        <v>#REF!</v>
      </c>
      <c r="D59" s="7" t="e">
        <f aca="true">INDIRECT("'Ответы на форму (1)'!D"&amp;$L59,TRUE())</f>
        <v>#REF!</v>
      </c>
      <c r="E59" s="7" t="n">
        <f aca="false">IFERROR(__xludf.dummyfunction("iferror(VALUE(REGEXEXTRACT(TEXT(INDIRECT(""'Ответы на форму (1)'!E""&amp;$L59,TRUE),""####""),""[0-9]+"")),INDIRECT(""'Ответы на форму (1)'!E""&amp;$L59,TRUE))"),117)</f>
        <v>117</v>
      </c>
      <c r="F59" s="7" t="e">
        <f aca="true">INDIRECT("'Ответы на форму (1)'!F"&amp;$L59,TRUE())</f>
        <v>#REF!</v>
      </c>
      <c r="G59" s="8" t="e">
        <f aca="true">IFERROR(MID(INDIRECT("'Ответы на форму (1)'!G"&amp;$L59,TRUE()),SEARCH("vk.com",INDIRECT("'Ответы на форму (1)'!G"&amp;$L59,TRUE())),LEN(INDIRECT("'Ответы на форму (1)'!G"&amp;$L59,TRUE()))),INDIRECT("'Ответы на форму (1)'!G"&amp;$L59,TRUE()))</f>
        <v>#REF!</v>
      </c>
      <c r="H59" s="7" t="e">
        <f aca="true">INDIRECT("'Ответы на форму (1)'!H"&amp;$L59,TRUE())</f>
        <v>#REF!</v>
      </c>
      <c r="I59" s="7" t="e">
        <f aca="true">INDIRECT("'Ответы на форму (1)'!I"&amp;$L59,TRUE())</f>
        <v>#REF!</v>
      </c>
      <c r="J59" s="7" t="e">
        <f aca="true">INDIRECT("'Ответы на форму (1)'!J"&amp;$L59,TRUE())</f>
        <v>#REF!</v>
      </c>
      <c r="K59" s="7" t="e">
        <f aca="false" t="array" ref="K59:K59">IF(COUNTIF(concat(TRIM('Список прошлого года'!$B$2:$B$200),TRIM('Список прошлого года'!$C$2:$C$200)),concat(TRIM(B59),TRIM(C59))) &gt; 0,IF(concat(TRIM(B59),TRIM(C59)) = "","","Да"),"Нет")</f>
        <v>#NAME?</v>
      </c>
      <c r="L59" s="5" t="n">
        <v>73</v>
      </c>
      <c r="M59" s="5" t="n">
        <v>2</v>
      </c>
      <c r="N59" s="7"/>
      <c r="O59" s="0" t="s">
        <v>22</v>
      </c>
      <c r="P59" s="7"/>
      <c r="Q59" s="5" t="n">
        <v>1</v>
      </c>
      <c r="R59" s="5" t="n">
        <v>1</v>
      </c>
      <c r="S59" s="5" t="n">
        <v>1</v>
      </c>
      <c r="T59" s="5" t="n">
        <v>1</v>
      </c>
      <c r="U59" s="5" t="n">
        <v>1</v>
      </c>
      <c r="V59" s="7"/>
      <c r="W59" s="7"/>
      <c r="X59" s="7"/>
      <c r="Y59" s="7"/>
      <c r="Z59" s="7"/>
    </row>
    <row r="60" customFormat="false" ht="15.75" hidden="false" customHeight="false" outlineLevel="0" collapsed="false">
      <c r="A60" s="6" t="e">
        <f aca="true">INDIRECT("'Ответы на форму (1)'!A"&amp;$L60,TRUE())</f>
        <v>#REF!</v>
      </c>
      <c r="B60" s="7" t="e">
        <f aca="true">INDIRECT("'Ответы на форму (1)'!B"&amp;$L60,TRUE())</f>
        <v>#REF!</v>
      </c>
      <c r="C60" s="7" t="e">
        <f aca="true">INDIRECT("'Ответы на форму (1)'!C"&amp;$L60,TRUE())</f>
        <v>#REF!</v>
      </c>
      <c r="D60" s="7" t="e">
        <f aca="true">INDIRECT("'Ответы на форму (1)'!D"&amp;$L60,TRUE())</f>
        <v>#REF!</v>
      </c>
      <c r="E60" s="7" t="n">
        <f aca="false">IFERROR(__xludf.dummyfunction("iferror(VALUE(REGEXEXTRACT(TEXT(INDIRECT(""'Ответы на форму (1)'!E""&amp;$L60,TRUE),""####""),""[0-9]+"")),INDIRECT(""'Ответы на форму (1)'!E""&amp;$L60,TRUE))"),19)</f>
        <v>19</v>
      </c>
      <c r="F60" s="7" t="e">
        <f aca="true">INDIRECT("'Ответы на форму (1)'!F"&amp;$L60,TRUE())</f>
        <v>#REF!</v>
      </c>
      <c r="G60" s="8" t="e">
        <f aca="true">IFERROR(MID(INDIRECT("'Ответы на форму (1)'!G"&amp;$L60,TRUE()),SEARCH("vk.com",INDIRECT("'Ответы на форму (1)'!G"&amp;$L60,TRUE())),LEN(INDIRECT("'Ответы на форму (1)'!G"&amp;$L60,TRUE()))),INDIRECT("'Ответы на форму (1)'!G"&amp;$L60,TRUE()))</f>
        <v>#REF!</v>
      </c>
      <c r="H60" s="7" t="e">
        <f aca="true">INDIRECT("'Ответы на форму (1)'!H"&amp;$L60,TRUE())</f>
        <v>#REF!</v>
      </c>
      <c r="I60" s="7" t="e">
        <f aca="true">INDIRECT("'Ответы на форму (1)'!I"&amp;$L60,TRUE())</f>
        <v>#REF!</v>
      </c>
      <c r="J60" s="7" t="e">
        <f aca="true">INDIRECT("'Ответы на форму (1)'!J"&amp;$L60,TRUE())</f>
        <v>#REF!</v>
      </c>
      <c r="K60" s="7" t="e">
        <f aca="false" t="array" ref="K60:K60">IF(COUNTIF(concat(TRIM('Список прошлого года'!$B$2:$B$200),TRIM('Список прошлого года'!$C$2:$C$200)),concat(TRIM(B60),TRIM(C60))) &gt; 0,IF(concat(TRIM(B60),TRIM(C60)) = "","","Да"),"Нет")</f>
        <v>#NAME?</v>
      </c>
      <c r="L60" s="5" t="n">
        <v>74</v>
      </c>
      <c r="M60" s="5" t="n">
        <v>2</v>
      </c>
      <c r="N60" s="7"/>
      <c r="O60" s="7" t="s">
        <v>29</v>
      </c>
      <c r="P60" s="7"/>
      <c r="Q60" s="5" t="n">
        <v>1</v>
      </c>
      <c r="R60" s="5" t="n">
        <v>1</v>
      </c>
      <c r="S60" s="5" t="n">
        <v>1</v>
      </c>
      <c r="T60" s="5" t="n">
        <v>0</v>
      </c>
      <c r="U60" s="5" t="n">
        <v>1</v>
      </c>
      <c r="V60" s="7"/>
      <c r="W60" s="7"/>
      <c r="X60" s="7"/>
      <c r="Y60" s="7"/>
      <c r="Z60" s="7"/>
    </row>
    <row r="61" customFormat="false" ht="15.75" hidden="false" customHeight="false" outlineLevel="0" collapsed="false">
      <c r="A61" s="6" t="e">
        <f aca="true">INDIRECT("'Ответы на форму (1)'!A"&amp;$L61,TRUE())</f>
        <v>#REF!</v>
      </c>
      <c r="B61" s="7" t="e">
        <f aca="true">INDIRECT("'Ответы на форму (1)'!B"&amp;$L61,TRUE())</f>
        <v>#REF!</v>
      </c>
      <c r="C61" s="7" t="e">
        <f aca="true">INDIRECT("'Ответы на форму (1)'!C"&amp;$L61,TRUE())</f>
        <v>#REF!</v>
      </c>
      <c r="D61" s="7" t="e">
        <f aca="true">INDIRECT("'Ответы на форму (1)'!D"&amp;$L61,TRUE())</f>
        <v>#REF!</v>
      </c>
      <c r="E61" s="7" t="n">
        <f aca="false">IFERROR(__xludf.dummyfunction("iferror(VALUE(REGEXEXTRACT(TEXT(INDIRECT(""'Ответы на форму (1)'!E""&amp;$L61,TRUE),""####""),""[0-9]+"")),INDIRECT(""'Ответы на форму (1)'!E""&amp;$L61,TRUE))"),140)</f>
        <v>140</v>
      </c>
      <c r="F61" s="7" t="e">
        <f aca="true">INDIRECT("'Ответы на форму (1)'!F"&amp;$L61,TRUE())</f>
        <v>#REF!</v>
      </c>
      <c r="G61" s="8" t="e">
        <f aca="true">IFERROR(MID(INDIRECT("'Ответы на форму (1)'!G"&amp;$L61,TRUE()),SEARCH("vk.com",INDIRECT("'Ответы на форму (1)'!G"&amp;$L61,TRUE())),LEN(INDIRECT("'Ответы на форму (1)'!G"&amp;$L61,TRUE()))),INDIRECT("'Ответы на форму (1)'!G"&amp;$L61,TRUE()))</f>
        <v>#REF!</v>
      </c>
      <c r="H61" s="7" t="e">
        <f aca="true">INDIRECT("'Ответы на форму (1)'!H"&amp;$L61,TRUE())</f>
        <v>#REF!</v>
      </c>
      <c r="I61" s="7" t="e">
        <f aca="true">INDIRECT("'Ответы на форму (1)'!I"&amp;$L61,TRUE())</f>
        <v>#REF!</v>
      </c>
      <c r="J61" s="7" t="e">
        <f aca="true">INDIRECT("'Ответы на форму (1)'!J"&amp;$L61,TRUE())</f>
        <v>#REF!</v>
      </c>
      <c r="K61" s="7" t="e">
        <f aca="false" t="array" ref="K61:K61">IF(COUNTIF(concat(TRIM('Список прошлого года'!$B$2:$B$200),TRIM('Список прошлого года'!$C$2:$C$200)),concat(TRIM(B61),TRIM(C61))) &gt; 0,IF(concat(TRIM(B61),TRIM(C61)) = "","","Да"),"Нет")</f>
        <v>#NAME?</v>
      </c>
      <c r="L61" s="5" t="n">
        <v>75</v>
      </c>
      <c r="M61" s="5" t="n">
        <v>2</v>
      </c>
      <c r="N61" s="7"/>
      <c r="O61" s="1" t="s">
        <v>15</v>
      </c>
      <c r="P61" s="7"/>
      <c r="Q61" s="5" t="n">
        <v>1</v>
      </c>
      <c r="R61" s="5" t="n">
        <v>1</v>
      </c>
      <c r="S61" s="5" t="n">
        <v>1</v>
      </c>
      <c r="T61" s="5" t="n">
        <v>1</v>
      </c>
      <c r="U61" s="5" t="n">
        <v>1</v>
      </c>
      <c r="V61" s="7"/>
      <c r="W61" s="7"/>
      <c r="X61" s="7"/>
      <c r="Y61" s="7"/>
      <c r="Z61" s="7"/>
    </row>
    <row r="62" customFormat="false" ht="15.75" hidden="false" customHeight="false" outlineLevel="0" collapsed="false">
      <c r="A62" s="11" t="e">
        <f aca="true">INDIRECT("'Ответы на форму (1)'!A"&amp;$L62,TRUE())</f>
        <v>#REF!</v>
      </c>
      <c r="B62" s="0" t="e">
        <f aca="true">INDIRECT("'Ответы на форму (1)'!B"&amp;$L62,TRUE())</f>
        <v>#REF!</v>
      </c>
      <c r="C62" s="0" t="e">
        <f aca="true">INDIRECT("'Ответы на форму (1)'!C"&amp;$L62,TRUE())</f>
        <v>#REF!</v>
      </c>
      <c r="D62" s="0" t="e">
        <f aca="true">INDIRECT("'Ответы на форму (1)'!D"&amp;$L62,TRUE())</f>
        <v>#REF!</v>
      </c>
      <c r="E62" s="0" t="n">
        <f aca="false">IFERROR(__xludf.dummyfunction("iferror(VALUE(REGEXEXTRACT(TEXT(INDIRECT(""'Ответы на форму (1)'!E""&amp;$L62,TRUE),""####""),""[0-9]+"")),INDIRECT(""'Ответы на форму (1)'!E""&amp;$L62,TRUE))"),117)</f>
        <v>117</v>
      </c>
      <c r="F62" s="0" t="e">
        <f aca="true">INDIRECT("'Ответы на форму (1)'!F"&amp;$L62,TRUE())</f>
        <v>#REF!</v>
      </c>
      <c r="G62" s="12" t="e">
        <f aca="true">IFERROR(MID(INDIRECT("'Ответы на форму (1)'!G"&amp;$L62,TRUE()),SEARCH("vk.com",INDIRECT("'Ответы на форму (1)'!G"&amp;$L62,TRUE())),LEN(INDIRECT("'Ответы на форму (1)'!G"&amp;$L62,TRUE()))),INDIRECT("'Ответы на форму (1)'!G"&amp;$L62,TRUE()))</f>
        <v>#REF!</v>
      </c>
      <c r="H62" s="0" t="e">
        <f aca="true">INDIRECT("'Ответы на форму (1)'!H"&amp;$L62,TRUE())</f>
        <v>#REF!</v>
      </c>
      <c r="I62" s="0" t="e">
        <f aca="true">INDIRECT("'Ответы на форму (1)'!I"&amp;$L62,TRUE())</f>
        <v>#REF!</v>
      </c>
      <c r="J62" s="0" t="e">
        <f aca="true">INDIRECT("'Ответы на форму (1)'!J"&amp;$L62,TRUE())</f>
        <v>#REF!</v>
      </c>
      <c r="K62" s="0" t="e">
        <f aca="false" t="array" ref="K62:K62">IF(COUNTIF(concat(TRIM('Список прошлого года'!$B$2:$B$200),TRIM('Список прошлого года'!$C$2:$C$200)),concat(TRIM(B62),TRIM(C62))) &gt; 0,IF(concat(TRIM(B62),TRIM(C62)) = "","","Да"),"Нет")</f>
        <v>#NAME?</v>
      </c>
      <c r="L62" s="1" t="n">
        <v>76</v>
      </c>
      <c r="M62" s="1" t="n">
        <v>-1</v>
      </c>
    </row>
    <row r="63" customFormat="false" ht="15.75" hidden="false" customHeight="false" outlineLevel="0" collapsed="false">
      <c r="A63" s="11" t="e">
        <f aca="true">INDIRECT("'Ответы на форму (1)'!A"&amp;$L63,TRUE())</f>
        <v>#REF!</v>
      </c>
      <c r="B63" s="0" t="e">
        <f aca="true">INDIRECT("'Ответы на форму (1)'!B"&amp;$L63,TRUE())</f>
        <v>#REF!</v>
      </c>
      <c r="C63" s="0" t="e">
        <f aca="true">INDIRECT("'Ответы на форму (1)'!C"&amp;$L63,TRUE())</f>
        <v>#REF!</v>
      </c>
      <c r="D63" s="0" t="e">
        <f aca="true">INDIRECT("'Ответы на форму (1)'!D"&amp;$L63,TRUE())</f>
        <v>#REF!</v>
      </c>
      <c r="E63" s="0" t="n">
        <f aca="false">IFERROR(__xludf.dummyfunction("iferror(VALUE(REGEXEXTRACT(TEXT(INDIRECT(""'Ответы на форму (1)'!E""&amp;$L63,TRUE),""####""),""[0-9]+"")),INDIRECT(""'Ответы на форму (1)'!E""&amp;$L63,TRUE))"),117)</f>
        <v>117</v>
      </c>
      <c r="F63" s="0" t="e">
        <f aca="true">INDIRECT("'Ответы на форму (1)'!F"&amp;$L63,TRUE())</f>
        <v>#REF!</v>
      </c>
      <c r="G63" s="12" t="e">
        <f aca="true">IFERROR(MID(INDIRECT("'Ответы на форму (1)'!G"&amp;$L63,TRUE()),SEARCH("vk.com",INDIRECT("'Ответы на форму (1)'!G"&amp;$L63,TRUE())),LEN(INDIRECT("'Ответы на форму (1)'!G"&amp;$L63,TRUE()))),INDIRECT("'Ответы на форму (1)'!G"&amp;$L63,TRUE()))</f>
        <v>#REF!</v>
      </c>
      <c r="H63" s="0" t="e">
        <f aca="true">INDIRECT("'Ответы на форму (1)'!H"&amp;$L63,TRUE())</f>
        <v>#REF!</v>
      </c>
      <c r="I63" s="0" t="e">
        <f aca="true">INDIRECT("'Ответы на форму (1)'!I"&amp;$L63,TRUE())</f>
        <v>#REF!</v>
      </c>
      <c r="J63" s="0" t="e">
        <f aca="true">INDIRECT("'Ответы на форму (1)'!J"&amp;$L63,TRUE())</f>
        <v>#REF!</v>
      </c>
      <c r="K63" s="0" t="e">
        <f aca="false" t="array" ref="K63:K63">IF(COUNTIF(concat(TRIM('Список прошлого года'!$B$2:$B$200),TRIM('Список прошлого года'!$C$2:$C$200)),concat(TRIM(B63),TRIM(C63))) &gt; 0,IF(concat(TRIM(B63),TRIM(C63)) = "","","Да"),"Нет")</f>
        <v>#NAME?</v>
      </c>
      <c r="L63" s="1" t="n">
        <v>77</v>
      </c>
      <c r="M63" s="1" t="n">
        <v>2</v>
      </c>
      <c r="O63" s="7" t="s">
        <v>70</v>
      </c>
      <c r="Q63" s="5" t="n">
        <v>1</v>
      </c>
      <c r="R63" s="5" t="n">
        <v>1</v>
      </c>
      <c r="S63" s="5" t="n">
        <v>1</v>
      </c>
      <c r="T63" s="5" t="n">
        <v>1</v>
      </c>
      <c r="U63" s="5" t="n">
        <v>1</v>
      </c>
    </row>
    <row r="64" customFormat="false" ht="15.75" hidden="false" customHeight="false" outlineLevel="0" collapsed="false">
      <c r="A64" s="11" t="e">
        <f aca="true">INDIRECT("'Ответы на форму (1)'!A"&amp;$L64,TRUE())</f>
        <v>#REF!</v>
      </c>
      <c r="B64" s="0" t="e">
        <f aca="true">INDIRECT("'Ответы на форму (1)'!B"&amp;$L64,TRUE())</f>
        <v>#REF!</v>
      </c>
      <c r="C64" s="0" t="e">
        <f aca="true">INDIRECT("'Ответы на форму (1)'!C"&amp;$L64,TRUE())</f>
        <v>#REF!</v>
      </c>
      <c r="D64" s="0" t="e">
        <f aca="true">INDIRECT("'Ответы на форму (1)'!D"&amp;$L64,TRUE())</f>
        <v>#REF!</v>
      </c>
      <c r="E64" s="0" t="n">
        <f aca="false">IFERROR(__xludf.dummyfunction("iferror(VALUE(REGEXEXTRACT(TEXT(INDIRECT(""'Ответы на форму (1)'!E""&amp;$L64,TRUE),""####""),""[0-9]+"")),INDIRECT(""'Ответы на форму (1)'!E""&amp;$L64,TRUE))"),117)</f>
        <v>117</v>
      </c>
      <c r="F64" s="0" t="e">
        <f aca="true">INDIRECT("'Ответы на форму (1)'!F"&amp;$L64,TRUE())</f>
        <v>#REF!</v>
      </c>
      <c r="G64" s="12" t="e">
        <f aca="true">IFERROR(MID(INDIRECT("'Ответы на форму (1)'!G"&amp;$L64,TRUE()),SEARCH("vk.com",INDIRECT("'Ответы на форму (1)'!G"&amp;$L64,TRUE())),LEN(INDIRECT("'Ответы на форму (1)'!G"&amp;$L64,TRUE()))),INDIRECT("'Ответы на форму (1)'!G"&amp;$L64,TRUE()))</f>
        <v>#REF!</v>
      </c>
      <c r="H64" s="0" t="e">
        <f aca="true">INDIRECT("'Ответы на форму (1)'!H"&amp;$L64,TRUE())</f>
        <v>#REF!</v>
      </c>
      <c r="I64" s="0" t="e">
        <f aca="true">INDIRECT("'Ответы на форму (1)'!I"&amp;$L64,TRUE())</f>
        <v>#REF!</v>
      </c>
      <c r="J64" s="0" t="e">
        <f aca="true">INDIRECT("'Ответы на форму (1)'!J"&amp;$L64,TRUE())</f>
        <v>#REF!</v>
      </c>
      <c r="K64" s="0" t="e">
        <f aca="false" t="array" ref="K64:K64">IF(COUNTIF(concat(TRIM('Список прошлого года'!$B$2:$B$200),TRIM('Список прошлого года'!$C$2:$C$200)),concat(TRIM(B64),TRIM(C64))) &gt; 0,IF(concat(TRIM(B64),TRIM(C64)) = "","","Да"),"Нет")</f>
        <v>#NAME?</v>
      </c>
      <c r="L64" s="1" t="n">
        <v>78</v>
      </c>
      <c r="M64" s="1" t="n">
        <v>2</v>
      </c>
      <c r="O64" s="0" t="s">
        <v>51</v>
      </c>
      <c r="Q64" s="9" t="n">
        <v>1</v>
      </c>
      <c r="R64" s="10" t="n">
        <v>1</v>
      </c>
      <c r="S64" s="10" t="n">
        <v>0</v>
      </c>
      <c r="T64" s="10" t="n">
        <v>1</v>
      </c>
      <c r="U64" s="10" t="n">
        <v>1</v>
      </c>
    </row>
    <row r="65" customFormat="false" ht="15.75" hidden="false" customHeight="false" outlineLevel="0" collapsed="false">
      <c r="A65" s="11" t="e">
        <f aca="true">INDIRECT("'Ответы на форму (1)'!A"&amp;$L65,TRUE())</f>
        <v>#REF!</v>
      </c>
      <c r="B65" s="0" t="e">
        <f aca="true">INDIRECT("'Ответы на форму (1)'!B"&amp;$L65,TRUE())</f>
        <v>#REF!</v>
      </c>
      <c r="C65" s="0" t="e">
        <f aca="true">INDIRECT("'Ответы на форму (1)'!C"&amp;$L65,TRUE())</f>
        <v>#REF!</v>
      </c>
      <c r="D65" s="0" t="e">
        <f aca="true">INDIRECT("'Ответы на форму (1)'!D"&amp;$L65,TRUE())</f>
        <v>#REF!</v>
      </c>
      <c r="E65" s="0" t="n">
        <f aca="false">IFERROR(__xludf.dummyfunction("iferror(VALUE(REGEXEXTRACT(TEXT(INDIRECT(""'Ответы на форму (1)'!E""&amp;$L65,TRUE),""####""),""[0-9]+"")),INDIRECT(""'Ответы на форму (1)'!E""&amp;$L65,TRUE))"),149)</f>
        <v>149</v>
      </c>
      <c r="F65" s="0" t="e">
        <f aca="true">INDIRECT("'Ответы на форму (1)'!F"&amp;$L65,TRUE())</f>
        <v>#REF!</v>
      </c>
      <c r="G65" s="12" t="e">
        <f aca="true">IFERROR(MID(INDIRECT("'Ответы на форму (1)'!G"&amp;$L65,TRUE()),SEARCH("vk.com",INDIRECT("'Ответы на форму (1)'!G"&amp;$L65,TRUE())),LEN(INDIRECT("'Ответы на форму (1)'!G"&amp;$L65,TRUE()))),INDIRECT("'Ответы на форму (1)'!G"&amp;$L65,TRUE()))</f>
        <v>#REF!</v>
      </c>
      <c r="H65" s="0" t="e">
        <f aca="true">INDIRECT("'Ответы на форму (1)'!H"&amp;$L65,TRUE())</f>
        <v>#REF!</v>
      </c>
      <c r="I65" s="0" t="e">
        <f aca="true">INDIRECT("'Ответы на форму (1)'!I"&amp;$L65,TRUE())</f>
        <v>#REF!</v>
      </c>
      <c r="J65" s="0" t="e">
        <f aca="true">INDIRECT("'Ответы на форму (1)'!J"&amp;$L65,TRUE())</f>
        <v>#REF!</v>
      </c>
      <c r="K65" s="0" t="e">
        <f aca="false" t="array" ref="K65:K65">IF(COUNTIF(concat(TRIM('Список прошлого года'!$B$2:$B$200),TRIM('Список прошлого года'!$C$2:$C$200)),concat(TRIM(B65),TRIM(C65))) &gt; 0,IF(concat(TRIM(B65),TRIM(C65)) = "","","Да"),"Нет")</f>
        <v>#NAME?</v>
      </c>
      <c r="L65" s="1" t="n">
        <v>80</v>
      </c>
      <c r="M65" s="1" t="n">
        <v>2</v>
      </c>
      <c r="O65" s="1" t="s">
        <v>14</v>
      </c>
      <c r="Q65" s="1" t="n">
        <v>1</v>
      </c>
      <c r="R65" s="1" t="n">
        <v>1</v>
      </c>
      <c r="S65" s="1" t="n">
        <v>1</v>
      </c>
      <c r="T65" s="1" t="n">
        <v>1</v>
      </c>
      <c r="U65" s="1" t="n">
        <v>1</v>
      </c>
    </row>
    <row r="66" customFormat="false" ht="15.75" hidden="false" customHeight="false" outlineLevel="0" collapsed="false">
      <c r="A66" s="11" t="e">
        <f aca="true">INDIRECT("'Ответы на форму (1)'!A"&amp;$L66,TRUE())</f>
        <v>#REF!</v>
      </c>
      <c r="B66" s="0" t="e">
        <f aca="true">INDIRECT("'Ответы на форму (1)'!B"&amp;$L66,TRUE())</f>
        <v>#REF!</v>
      </c>
      <c r="C66" s="0" t="e">
        <f aca="true">INDIRECT("'Ответы на форму (1)'!C"&amp;$L66,TRUE())</f>
        <v>#REF!</v>
      </c>
      <c r="D66" s="0" t="e">
        <f aca="true">INDIRECT("'Ответы на форму (1)'!D"&amp;$L66,TRUE())</f>
        <v>#REF!</v>
      </c>
      <c r="E66" s="0" t="n">
        <f aca="false">IFERROR(__xludf.dummyfunction("iferror(VALUE(REGEXEXTRACT(TEXT(INDIRECT(""'Ответы на форму (1)'!E""&amp;$L66,TRUE),""####""),""[0-9]+"")),INDIRECT(""'Ответы на форму (1)'!E""&amp;$L66,TRUE))"),62)</f>
        <v>62</v>
      </c>
      <c r="F66" s="0" t="e">
        <f aca="true">INDIRECT("'Ответы на форму (1)'!F"&amp;$L66,TRUE())</f>
        <v>#REF!</v>
      </c>
      <c r="G66" s="12" t="e">
        <f aca="true">IFERROR(MID(INDIRECT("'Ответы на форму (1)'!G"&amp;$L66,TRUE()),SEARCH("vk.com",INDIRECT("'Ответы на форму (1)'!G"&amp;$L66,TRUE())),LEN(INDIRECT("'Ответы на форму (1)'!G"&amp;$L66,TRUE()))),INDIRECT("'Ответы на форму (1)'!G"&amp;$L66,TRUE()))</f>
        <v>#REF!</v>
      </c>
      <c r="H66" s="0" t="e">
        <f aca="true">INDIRECT("'Ответы на форму (1)'!H"&amp;$L66,TRUE())</f>
        <v>#REF!</v>
      </c>
      <c r="I66" s="0" t="e">
        <f aca="true">INDIRECT("'Ответы на форму (1)'!I"&amp;$L66,TRUE())</f>
        <v>#REF!</v>
      </c>
      <c r="J66" s="0" t="e">
        <f aca="true">INDIRECT("'Ответы на форму (1)'!J"&amp;$L66,TRUE())</f>
        <v>#REF!</v>
      </c>
      <c r="K66" s="0" t="e">
        <f aca="false" t="array" ref="K66:K66">IF(COUNTIF(concat(TRIM('Список прошлого года'!$B$2:$B$200),TRIM('Список прошлого года'!$C$2:$C$200)),concat(TRIM(B66),TRIM(C66))) &gt; 0,IF(concat(TRIM(B66),TRIM(C66)) = "","","Да"),"Нет")</f>
        <v>#NAME?</v>
      </c>
      <c r="L66" s="1" t="n">
        <v>79</v>
      </c>
      <c r="M66" s="1" t="n">
        <v>2</v>
      </c>
      <c r="O66" s="7" t="s">
        <v>29</v>
      </c>
      <c r="Q66" s="1" t="n">
        <v>1</v>
      </c>
      <c r="R66" s="1" t="n">
        <v>1</v>
      </c>
      <c r="S66" s="1" t="n">
        <v>1</v>
      </c>
      <c r="T66" s="1" t="n">
        <v>1</v>
      </c>
      <c r="U66" s="1" t="n">
        <v>1</v>
      </c>
    </row>
    <row r="67" customFormat="false" ht="15.75" hidden="false" customHeight="false" outlineLevel="0" collapsed="false">
      <c r="A67" s="6" t="e">
        <f aca="true">INDIRECT("'Ответы на форму (1)'!A"&amp;$L67,TRUE())</f>
        <v>#REF!</v>
      </c>
      <c r="B67" s="7" t="e">
        <f aca="true">INDIRECT("'Ответы на форму (1)'!B"&amp;$L67,TRUE())</f>
        <v>#REF!</v>
      </c>
      <c r="C67" s="7" t="e">
        <f aca="true">INDIRECT("'Ответы на форму (1)'!C"&amp;$L67,TRUE())</f>
        <v>#REF!</v>
      </c>
      <c r="D67" s="7" t="e">
        <f aca="true">INDIRECT("'Ответы на форму (1)'!D"&amp;$L67,TRUE())</f>
        <v>#REF!</v>
      </c>
      <c r="E67" s="7" t="n">
        <f aca="false">IFERROR(__xludf.dummyfunction("iferror(VALUE(REGEXEXTRACT(TEXT(INDIRECT(""'Ответы на форму (1)'!E""&amp;$L67,TRUE),""####""),""[0-9]+"")),INDIRECT(""'Ответы на форму (1)'!E""&amp;$L67,TRUE))"),64)</f>
        <v>64</v>
      </c>
      <c r="F67" s="7" t="e">
        <f aca="true">INDIRECT("'Ответы на форму (1)'!F"&amp;$L67,TRUE())</f>
        <v>#REF!</v>
      </c>
      <c r="G67" s="8" t="e">
        <f aca="true">IFERROR(MID(INDIRECT("'Ответы на форму (1)'!G"&amp;$L67,TRUE()),SEARCH("vk.com",INDIRECT("'Ответы на форму (1)'!G"&amp;$L67,TRUE())),LEN(INDIRECT("'Ответы на форму (1)'!G"&amp;$L67,TRUE()))),INDIRECT("'Ответы на форму (1)'!G"&amp;$L67,TRUE()))</f>
        <v>#REF!</v>
      </c>
      <c r="H67" s="7" t="e">
        <f aca="true">INDIRECT("'Ответы на форму (1)'!H"&amp;$L67,TRUE())</f>
        <v>#REF!</v>
      </c>
      <c r="I67" s="7" t="e">
        <f aca="true">INDIRECT("'Ответы на форму (1)'!I"&amp;$L67,TRUE())</f>
        <v>#REF!</v>
      </c>
      <c r="J67" s="7" t="e">
        <f aca="true">INDIRECT("'Ответы на форму (1)'!J"&amp;$L67,TRUE())</f>
        <v>#REF!</v>
      </c>
      <c r="K67" s="7" t="e">
        <f aca="false" t="array" ref="K67:K67">IF(COUNTIF(concat(TRIM('Список прошлого года'!$B$2:$B$200),TRIM('Список прошлого года'!$C$2:$C$200)),concat(TRIM(B67),TRIM(C67))) &gt; 0,IF(concat(TRIM(B67),TRIM(C67)) = "","","Да"),"Нет")</f>
        <v>#NAME?</v>
      </c>
      <c r="L67" s="5" t="n">
        <v>81</v>
      </c>
      <c r="M67" s="5" t="n">
        <v>2</v>
      </c>
      <c r="N67" s="7"/>
      <c r="O67" s="0" t="s">
        <v>80</v>
      </c>
      <c r="P67" s="7"/>
      <c r="Q67" s="5" t="n">
        <v>1</v>
      </c>
      <c r="R67" s="5" t="n">
        <v>1</v>
      </c>
      <c r="S67" s="5" t="n">
        <v>1</v>
      </c>
      <c r="T67" s="5" t="n">
        <v>1</v>
      </c>
      <c r="U67" s="5" t="n">
        <v>0</v>
      </c>
      <c r="V67" s="7"/>
      <c r="W67" s="7"/>
      <c r="X67" s="7"/>
      <c r="Y67" s="7"/>
      <c r="Z67" s="7"/>
    </row>
    <row r="68" customFormat="false" ht="15.75" hidden="false" customHeight="false" outlineLevel="0" collapsed="false">
      <c r="A68" s="11" t="e">
        <f aca="true">INDIRECT("'Ответы на форму (1)'!A"&amp;$L68,TRUE())</f>
        <v>#REF!</v>
      </c>
      <c r="B68" s="0" t="e">
        <f aca="true">INDIRECT("'Ответы на форму (1)'!B"&amp;$L68,TRUE())</f>
        <v>#REF!</v>
      </c>
      <c r="C68" s="0" t="e">
        <f aca="true">INDIRECT("'Ответы на форму (1)'!C"&amp;$L68,TRUE())</f>
        <v>#REF!</v>
      </c>
      <c r="D68" s="0" t="e">
        <f aca="true">INDIRECT("'Ответы на форму (1)'!D"&amp;$L68,TRUE())</f>
        <v>#REF!</v>
      </c>
      <c r="E68" s="0" t="n">
        <f aca="false">IFERROR(__xludf.dummyfunction("iferror(VALUE(REGEXEXTRACT(TEXT(INDIRECT(""'Ответы на форму (1)'!E""&amp;$L68,TRUE),""####""),""[0-9]+"")),INDIRECT(""'Ответы на форму (1)'!E""&amp;$L68,TRUE))"),64)</f>
        <v>64</v>
      </c>
      <c r="F68" s="0" t="e">
        <f aca="true">INDIRECT("'Ответы на форму (1)'!F"&amp;$L68,TRUE())</f>
        <v>#REF!</v>
      </c>
      <c r="G68" s="12" t="e">
        <f aca="true">IFERROR(MID(INDIRECT("'Ответы на форму (1)'!G"&amp;$L68,TRUE()),SEARCH("vk.com",INDIRECT("'Ответы на форму (1)'!G"&amp;$L68,TRUE())),LEN(INDIRECT("'Ответы на форму (1)'!G"&amp;$L68,TRUE()))),INDIRECT("'Ответы на форму (1)'!G"&amp;$L68,TRUE()))</f>
        <v>#REF!</v>
      </c>
      <c r="H68" s="0" t="e">
        <f aca="true">INDIRECT("'Ответы на форму (1)'!H"&amp;$L68,TRUE())</f>
        <v>#REF!</v>
      </c>
      <c r="I68" s="0" t="e">
        <f aca="true">INDIRECT("'Ответы на форму (1)'!I"&amp;$L68,TRUE())</f>
        <v>#REF!</v>
      </c>
      <c r="J68" s="0" t="e">
        <f aca="true">INDIRECT("'Ответы на форму (1)'!J"&amp;$L68,TRUE())</f>
        <v>#REF!</v>
      </c>
      <c r="K68" s="0" t="e">
        <f aca="false" t="array" ref="K68:K68">IF(COUNTIF(concat(TRIM('Список прошлого года'!$B$2:$B$200),TRIM('Список прошлого года'!$C$2:$C$200)),concat(TRIM(B68),TRIM(C68))) &gt; 0,IF(concat(TRIM(B68),TRIM(C68)) = "","","Да"),"Нет")</f>
        <v>#NAME?</v>
      </c>
      <c r="L68" s="1" t="n">
        <v>82</v>
      </c>
      <c r="M68" s="1" t="n">
        <v>2</v>
      </c>
      <c r="O68" s="1" t="s">
        <v>14</v>
      </c>
      <c r="Q68" s="1" t="n">
        <v>1</v>
      </c>
      <c r="R68" s="1" t="n">
        <v>0</v>
      </c>
      <c r="S68" s="1" t="n">
        <v>1</v>
      </c>
      <c r="T68" s="1" t="n">
        <v>0</v>
      </c>
      <c r="U68" s="1" t="n">
        <v>0</v>
      </c>
    </row>
    <row r="69" customFormat="false" ht="15.75" hidden="false" customHeight="false" outlineLevel="0" collapsed="false">
      <c r="A69" s="11" t="e">
        <f aca="true">INDIRECT("'Ответы на форму (1)'!A"&amp;$L69,TRUE())</f>
        <v>#REF!</v>
      </c>
      <c r="B69" s="0" t="e">
        <f aca="true">INDIRECT("'Ответы на форму (1)'!B"&amp;$L69,TRUE())</f>
        <v>#REF!</v>
      </c>
      <c r="C69" s="0" t="e">
        <f aca="true">INDIRECT("'Ответы на форму (1)'!C"&amp;$L69,TRUE())</f>
        <v>#REF!</v>
      </c>
      <c r="D69" s="0" t="e">
        <f aca="true">INDIRECT("'Ответы на форму (1)'!D"&amp;$L69,TRUE())</f>
        <v>#REF!</v>
      </c>
      <c r="E69" s="0" t="n">
        <f aca="false">IFERROR(__xludf.dummyfunction("iferror(VALUE(REGEXEXTRACT(TEXT(INDIRECT(""'Ответы на форму (1)'!E""&amp;$L69,TRUE),""####""),""[0-9]+"")),INDIRECT(""'Ответы на форму (1)'!E""&amp;$L69,TRUE))"),140)</f>
        <v>140</v>
      </c>
      <c r="F69" s="0" t="e">
        <f aca="true">INDIRECT("'Ответы на форму (1)'!F"&amp;$L69,TRUE())</f>
        <v>#REF!</v>
      </c>
      <c r="G69" s="12" t="e">
        <f aca="true">IFERROR(MID(INDIRECT("'Ответы на форму (1)'!G"&amp;$L69,TRUE()),SEARCH("vk.com",INDIRECT("'Ответы на форму (1)'!G"&amp;$L69,TRUE())),LEN(INDIRECT("'Ответы на форму (1)'!G"&amp;$L69,TRUE()))),INDIRECT("'Ответы на форму (1)'!G"&amp;$L69,TRUE()))</f>
        <v>#REF!</v>
      </c>
      <c r="H69" s="0" t="e">
        <f aca="true">INDIRECT("'Ответы на форму (1)'!H"&amp;$L69,TRUE())</f>
        <v>#REF!</v>
      </c>
      <c r="I69" s="0" t="e">
        <f aca="true">INDIRECT("'Ответы на форму (1)'!I"&amp;$L69,TRUE())</f>
        <v>#REF!</v>
      </c>
      <c r="J69" s="0" t="e">
        <f aca="true">INDIRECT("'Ответы на форму (1)'!J"&amp;$L69,TRUE())</f>
        <v>#REF!</v>
      </c>
      <c r="K69" s="0" t="e">
        <f aca="false" t="array" ref="K69:K69">IF(COUNTIF(concat(TRIM('Список прошлого года'!$B$2:$B$200),TRIM('Список прошлого года'!$C$2:$C$200)),concat(TRIM(B69),TRIM(C69))) &gt; 0,IF(concat(TRIM(B69),TRIM(C69)) = "","","Да"),"Нет")</f>
        <v>#NAME?</v>
      </c>
      <c r="L69" s="1" t="n">
        <v>83</v>
      </c>
      <c r="M69" s="1" t="n">
        <v>2</v>
      </c>
      <c r="O69" s="1" t="s">
        <v>14</v>
      </c>
      <c r="Q69" s="1" t="n">
        <v>1</v>
      </c>
      <c r="R69" s="1" t="n">
        <v>0</v>
      </c>
      <c r="S69" s="1" t="n">
        <v>1</v>
      </c>
      <c r="T69" s="1" t="n">
        <v>0</v>
      </c>
      <c r="U69" s="1" t="n">
        <v>1</v>
      </c>
    </row>
    <row r="70" customFormat="false" ht="15.75" hidden="false" customHeight="false" outlineLevel="0" collapsed="false">
      <c r="A70" s="6" t="e">
        <f aca="true">INDIRECT("'Ответы на форму (1)'!A"&amp;$L70,TRUE())</f>
        <v>#REF!</v>
      </c>
      <c r="B70" s="7" t="e">
        <f aca="true">INDIRECT("'Ответы на форму (1)'!B"&amp;$L70,TRUE())</f>
        <v>#REF!</v>
      </c>
      <c r="C70" s="7" t="e">
        <f aca="true">INDIRECT("'Ответы на форму (1)'!C"&amp;$L70,TRUE())</f>
        <v>#REF!</v>
      </c>
      <c r="D70" s="7" t="e">
        <f aca="true">INDIRECT("'Ответы на форму (1)'!D"&amp;$L70,TRUE())</f>
        <v>#REF!</v>
      </c>
      <c r="E70" s="7" t="n">
        <f aca="false">IFERROR(__xludf.dummyfunction("iferror(VALUE(REGEXEXTRACT(TEXT(INDIRECT(""'Ответы на форму (1)'!E""&amp;$L70,TRUE),""####""),""[0-9]+"")),INDIRECT(""'Ответы на форму (1)'!E""&amp;$L70,TRUE))"),64)</f>
        <v>64</v>
      </c>
      <c r="F70" s="7" t="e">
        <f aca="true">INDIRECT("'Ответы на форму (1)'!F"&amp;$L70,TRUE())</f>
        <v>#REF!</v>
      </c>
      <c r="G70" s="8" t="e">
        <f aca="true">IFERROR(MID(INDIRECT("'Ответы на форму (1)'!G"&amp;$L70,TRUE()),SEARCH("vk.com",INDIRECT("'Ответы на форму (1)'!G"&amp;$L70,TRUE())),LEN(INDIRECT("'Ответы на форму (1)'!G"&amp;$L70,TRUE()))),INDIRECT("'Ответы на форму (1)'!G"&amp;$L70,TRUE()))</f>
        <v>#REF!</v>
      </c>
      <c r="H70" s="7" t="e">
        <f aca="true">INDIRECT("'Ответы на форму (1)'!H"&amp;$L70,TRUE())</f>
        <v>#REF!</v>
      </c>
      <c r="I70" s="7" t="e">
        <f aca="true">INDIRECT("'Ответы на форму (1)'!I"&amp;$L70,TRUE())</f>
        <v>#REF!</v>
      </c>
      <c r="J70" s="7" t="e">
        <f aca="true">INDIRECT("'Ответы на форму (1)'!J"&amp;$L70,TRUE())</f>
        <v>#REF!</v>
      </c>
      <c r="K70" s="7" t="e">
        <f aca="false" t="array" ref="K70:K70">IF(COUNTIF(concat(TRIM('Список прошлого года'!$B$2:$B$200),TRIM('Список прошлого года'!$C$2:$C$200)),concat(TRIM(B70),TRIM(C70))) &gt; 0,IF(concat(TRIM(B70),TRIM(C70)) = "","","Да"),"Нет")</f>
        <v>#NAME?</v>
      </c>
      <c r="L70" s="5" t="n">
        <v>84</v>
      </c>
      <c r="M70" s="5" t="n">
        <v>2</v>
      </c>
      <c r="N70" s="5" t="s">
        <v>689</v>
      </c>
      <c r="O70" s="7" t="s">
        <v>50</v>
      </c>
      <c r="P70" s="7"/>
      <c r="Q70" s="5" t="n">
        <v>1</v>
      </c>
      <c r="R70" s="5" t="n">
        <v>1</v>
      </c>
      <c r="S70" s="5" t="n">
        <v>1</v>
      </c>
      <c r="T70" s="5" t="n">
        <v>1</v>
      </c>
      <c r="U70" s="5" t="n">
        <v>1</v>
      </c>
      <c r="V70" s="7"/>
      <c r="W70" s="7"/>
      <c r="X70" s="7"/>
      <c r="Y70" s="7"/>
      <c r="Z70" s="7"/>
    </row>
    <row r="71" customFormat="false" ht="15.75" hidden="false" customHeight="false" outlineLevel="0" collapsed="false">
      <c r="A71" s="11" t="e">
        <f aca="true">INDIRECT("'Ответы на форму (1)'!A"&amp;$L71,TRUE())</f>
        <v>#REF!</v>
      </c>
      <c r="B71" s="0" t="e">
        <f aca="true">INDIRECT("'Ответы на форму (1)'!B"&amp;$L71,TRUE())</f>
        <v>#REF!</v>
      </c>
      <c r="C71" s="0" t="e">
        <f aca="true">INDIRECT("'Ответы на форму (1)'!C"&amp;$L71,TRUE())</f>
        <v>#REF!</v>
      </c>
      <c r="D71" s="0" t="e">
        <f aca="true">INDIRECT("'Ответы на форму (1)'!D"&amp;$L71,TRUE())</f>
        <v>#REF!</v>
      </c>
      <c r="E71" s="0" t="n">
        <f aca="false">IFERROR(__xludf.dummyfunction("iferror(VALUE(REGEXEXTRACT(TEXT(INDIRECT(""'Ответы на форму (1)'!E""&amp;$L71,TRUE),""####""),""[0-9]+"")),INDIRECT(""'Ответы на форму (1)'!E""&amp;$L71,TRUE))"),19)</f>
        <v>19</v>
      </c>
      <c r="F71" s="0" t="e">
        <f aca="true">INDIRECT("'Ответы на форму (1)'!F"&amp;$L71,TRUE())</f>
        <v>#REF!</v>
      </c>
      <c r="G71" s="12" t="e">
        <f aca="true">IFERROR(MID(INDIRECT("'Ответы на форму (1)'!G"&amp;$L71,TRUE()),SEARCH("vk.com",INDIRECT("'Ответы на форму (1)'!G"&amp;$L71,TRUE())),LEN(INDIRECT("'Ответы на форму (1)'!G"&amp;$L71,TRUE()))),INDIRECT("'Ответы на форму (1)'!G"&amp;$L71,TRUE()))</f>
        <v>#REF!</v>
      </c>
      <c r="H71" s="0" t="e">
        <f aca="true">INDIRECT("'Ответы на форму (1)'!H"&amp;$L71,TRUE())</f>
        <v>#REF!</v>
      </c>
      <c r="I71" s="0" t="e">
        <f aca="true">INDIRECT("'Ответы на форму (1)'!I"&amp;$L71,TRUE())</f>
        <v>#REF!</v>
      </c>
      <c r="J71" s="0" t="e">
        <f aca="true">INDIRECT("'Ответы на форму (1)'!J"&amp;$L71,TRUE())</f>
        <v>#REF!</v>
      </c>
      <c r="K71" s="0" t="e">
        <f aca="false" t="array" ref="K71:K71">IF(COUNTIF(concat(TRIM('Список прошлого года'!$B$2:$B$200),TRIM('Список прошлого года'!$C$2:$C$200)),concat(TRIM(B71),TRIM(C71))) &gt; 0,IF(concat(TRIM(B71),TRIM(C71)) = "","","Да"),"Нет")</f>
        <v>#NAME?</v>
      </c>
      <c r="L71" s="1" t="n">
        <v>85</v>
      </c>
      <c r="M71" s="1" t="n">
        <v>2</v>
      </c>
      <c r="N71" s="1" t="s">
        <v>690</v>
      </c>
      <c r="O71" s="7" t="s">
        <v>29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</row>
    <row r="72" customFormat="false" ht="15.75" hidden="false" customHeight="false" outlineLevel="0" collapsed="false">
      <c r="A72" s="6" t="e">
        <f aca="true">INDIRECT("'Ответы на форму (1)'!A"&amp;$L72,TRUE())</f>
        <v>#REF!</v>
      </c>
      <c r="B72" s="7" t="e">
        <f aca="true">INDIRECT("'Ответы на форму (1)'!B"&amp;$L72,TRUE())</f>
        <v>#REF!</v>
      </c>
      <c r="C72" s="7" t="e">
        <f aca="true">INDIRECT("'Ответы на форму (1)'!C"&amp;$L72,TRUE())</f>
        <v>#REF!</v>
      </c>
      <c r="D72" s="7" t="e">
        <f aca="true">INDIRECT("'Ответы на форму (1)'!D"&amp;$L72,TRUE())</f>
        <v>#REF!</v>
      </c>
      <c r="E72" s="7" t="n">
        <f aca="false">IFERROR(__xludf.dummyfunction("iferror(VALUE(REGEXEXTRACT(TEXT(INDIRECT(""'Ответы на форму (1)'!E""&amp;$L72,TRUE),""####""),""[0-9]+"")),INDIRECT(""'Ответы на форму (1)'!E""&amp;$L72,TRUE))"),62)</f>
        <v>62</v>
      </c>
      <c r="F72" s="7" t="e">
        <f aca="true">INDIRECT("'Ответы на форму (1)'!F"&amp;$L72,TRUE())</f>
        <v>#REF!</v>
      </c>
      <c r="G72" s="8" t="e">
        <f aca="true">IFERROR(MID(INDIRECT("'Ответы на форму (1)'!G"&amp;$L72,TRUE()),SEARCH("vk.com",INDIRECT("'Ответы на форму (1)'!G"&amp;$L72,TRUE())),LEN(INDIRECT("'Ответы на форму (1)'!G"&amp;$L72,TRUE()))),INDIRECT("'Ответы на форму (1)'!G"&amp;$L72,TRUE()))</f>
        <v>#REF!</v>
      </c>
      <c r="H72" s="7" t="e">
        <f aca="true">INDIRECT("'Ответы на форму (1)'!H"&amp;$L72,TRUE())</f>
        <v>#REF!</v>
      </c>
      <c r="I72" s="7" t="e">
        <f aca="true">INDIRECT("'Ответы на форму (1)'!I"&amp;$L72,TRUE())</f>
        <v>#REF!</v>
      </c>
      <c r="J72" s="7" t="e">
        <f aca="true">INDIRECT("'Ответы на форму (1)'!J"&amp;$L72,TRUE())</f>
        <v>#REF!</v>
      </c>
      <c r="K72" s="7" t="e">
        <f aca="false" t="array" ref="K72:K72">IF(COUNTIF(concat(TRIM('Список прошлого года'!$B$2:$B$200),TRIM('Список прошлого года'!$C$2:$C$200)),concat(TRIM(B72),TRIM(C72))) &gt; 0,IF(concat(TRIM(B72),TRIM(C72)) = "","","Да"),"Нет")</f>
        <v>#NAME?</v>
      </c>
      <c r="L72" s="5" t="n">
        <v>86</v>
      </c>
      <c r="M72" s="5" t="n">
        <v>2</v>
      </c>
      <c r="N72" s="7"/>
      <c r="O72" s="7" t="s">
        <v>29</v>
      </c>
      <c r="P72" s="7"/>
      <c r="Q72" s="5" t="n">
        <v>1</v>
      </c>
      <c r="R72" s="5" t="n">
        <v>1</v>
      </c>
      <c r="S72" s="5" t="n">
        <v>0</v>
      </c>
      <c r="T72" s="5" t="n">
        <v>1</v>
      </c>
      <c r="U72" s="5" t="n">
        <v>1</v>
      </c>
      <c r="V72" s="7"/>
      <c r="W72" s="7"/>
      <c r="X72" s="7"/>
      <c r="Y72" s="7"/>
      <c r="Z72" s="7"/>
    </row>
    <row r="73" customFormat="false" ht="15.75" hidden="false" customHeight="false" outlineLevel="0" collapsed="false">
      <c r="A73" s="11" t="e">
        <f aca="true">INDIRECT("'Ответы на форму (1)'!A"&amp;$L73,TRUE())</f>
        <v>#REF!</v>
      </c>
      <c r="B73" s="0" t="e">
        <f aca="true">INDIRECT("'Ответы на форму (1)'!B"&amp;$L73,TRUE())</f>
        <v>#REF!</v>
      </c>
      <c r="C73" s="0" t="e">
        <f aca="true">INDIRECT("'Ответы на форму (1)'!C"&amp;$L73,TRUE())</f>
        <v>#REF!</v>
      </c>
      <c r="D73" s="0" t="e">
        <f aca="true">INDIRECT("'Ответы на форму (1)'!D"&amp;$L73,TRUE())</f>
        <v>#REF!</v>
      </c>
      <c r="E73" s="0" t="n">
        <f aca="false">IFERROR(__xludf.dummyfunction("iferror(VALUE(REGEXEXTRACT(TEXT(INDIRECT(""'Ответы на форму (1)'!E""&amp;$L73,TRUE),""####""),""[0-9]+"")),INDIRECT(""'Ответы на форму (1)'!E""&amp;$L73,TRUE))"),117)</f>
        <v>117</v>
      </c>
      <c r="F73" s="0" t="e">
        <f aca="true">INDIRECT("'Ответы на форму (1)'!F"&amp;$L73,TRUE())</f>
        <v>#REF!</v>
      </c>
      <c r="G73" s="12" t="e">
        <f aca="true">IFERROR(MID(INDIRECT("'Ответы на форму (1)'!G"&amp;$L73,TRUE()),SEARCH("vk.com",INDIRECT("'Ответы на форму (1)'!G"&amp;$L73,TRUE())),LEN(INDIRECT("'Ответы на форму (1)'!G"&amp;$L73,TRUE()))),INDIRECT("'Ответы на форму (1)'!G"&amp;$L73,TRUE()))</f>
        <v>#REF!</v>
      </c>
      <c r="H73" s="0" t="e">
        <f aca="true">INDIRECT("'Ответы на форму (1)'!H"&amp;$L73,TRUE())</f>
        <v>#REF!</v>
      </c>
      <c r="I73" s="0" t="e">
        <f aca="true">INDIRECT("'Ответы на форму (1)'!I"&amp;$L73,TRUE())</f>
        <v>#REF!</v>
      </c>
      <c r="J73" s="0" t="e">
        <f aca="true">INDIRECT("'Ответы на форму (1)'!J"&amp;$L73,TRUE())</f>
        <v>#REF!</v>
      </c>
      <c r="K73" s="0" t="e">
        <f aca="false" t="array" ref="K73:K73">IF(COUNTIF(concat(TRIM('Список прошлого года'!$B$2:$B$200),TRIM('Список прошлого года'!$C$2:$C$200)),concat(TRIM(B73),TRIM(C73))) &gt; 0,IF(concat(TRIM(B73),TRIM(C73)) = "","","Да"),"Нет")</f>
        <v>#NAME?</v>
      </c>
      <c r="L73" s="1" t="n">
        <v>87</v>
      </c>
      <c r="M73" s="1" t="n">
        <v>2</v>
      </c>
      <c r="N73" s="1" t="s">
        <v>691</v>
      </c>
      <c r="O73" s="7" t="s">
        <v>50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</row>
    <row r="74" customFormat="false" ht="15.75" hidden="false" customHeight="false" outlineLevel="0" collapsed="false">
      <c r="A74" s="11" t="e">
        <f aca="true">INDIRECT("'Ответы на форму (1)'!A"&amp;$L74,TRUE())</f>
        <v>#REF!</v>
      </c>
      <c r="B74" s="0" t="e">
        <f aca="true">INDIRECT("'Ответы на форму (1)'!B"&amp;$L74,TRUE())</f>
        <v>#REF!</v>
      </c>
      <c r="C74" s="0" t="e">
        <f aca="true">INDIRECT("'Ответы на форму (1)'!C"&amp;$L74,TRUE())</f>
        <v>#REF!</v>
      </c>
      <c r="D74" s="0" t="e">
        <f aca="true">INDIRECT("'Ответы на форму (1)'!D"&amp;$L74,TRUE())</f>
        <v>#REF!</v>
      </c>
      <c r="E74" s="0" t="n">
        <f aca="false">IFERROR(__xludf.dummyfunction("iferror(VALUE(REGEXEXTRACT(TEXT(INDIRECT(""'Ответы на форму (1)'!E""&amp;$L74,TRUE),""####""),""[0-9]+"")),INDIRECT(""'Ответы на форму (1)'!E""&amp;$L74,TRUE))"),17)</f>
        <v>17</v>
      </c>
      <c r="F74" s="0" t="e">
        <f aca="true">INDIRECT("'Ответы на форму (1)'!F"&amp;$L74,TRUE())</f>
        <v>#REF!</v>
      </c>
      <c r="G74" s="12" t="e">
        <f aca="true">IFERROR(MID(INDIRECT("'Ответы на форму (1)'!G"&amp;$L74,TRUE()),SEARCH("vk.com",INDIRECT("'Ответы на форму (1)'!G"&amp;$L74,TRUE())),LEN(INDIRECT("'Ответы на форму (1)'!G"&amp;$L74,TRUE()))),INDIRECT("'Ответы на форму (1)'!G"&amp;$L74,TRUE()))</f>
        <v>#REF!</v>
      </c>
      <c r="H74" s="0" t="e">
        <f aca="true">INDIRECT("'Ответы на форму (1)'!H"&amp;$L74,TRUE())</f>
        <v>#REF!</v>
      </c>
      <c r="I74" s="0" t="e">
        <f aca="true">INDIRECT("'Ответы на форму (1)'!I"&amp;$L74,TRUE())</f>
        <v>#REF!</v>
      </c>
      <c r="J74" s="0" t="e">
        <f aca="true">INDIRECT("'Ответы на форму (1)'!J"&amp;$L74,TRUE())</f>
        <v>#REF!</v>
      </c>
      <c r="K74" s="0" t="e">
        <f aca="false" t="array" ref="K74:K74">IF(COUNTIF(concat(TRIM('Список прошлого года'!$B$2:$B$200),TRIM('Список прошлого года'!$C$2:$C$200)),concat(TRIM(B74),TRIM(C74))) &gt; 0,IF(concat(TRIM(B74),TRIM(C74)) = "","","Да"),"Нет")</f>
        <v>#NAME?</v>
      </c>
      <c r="L74" s="1" t="n">
        <v>88</v>
      </c>
      <c r="M74" s="1" t="n">
        <v>2</v>
      </c>
      <c r="O74" s="0" t="s">
        <v>22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</row>
    <row r="75" customFormat="false" ht="15.75" hidden="false" customHeight="false" outlineLevel="0" collapsed="false">
      <c r="A75" s="11" t="e">
        <f aca="true">INDIRECT("'Ответы на форму (1)'!A"&amp;$L75,TRUE())</f>
        <v>#REF!</v>
      </c>
      <c r="B75" s="0" t="e">
        <f aca="true">INDIRECT("'Ответы на форму (1)'!B"&amp;$L75,TRUE())</f>
        <v>#REF!</v>
      </c>
      <c r="C75" s="0" t="e">
        <f aca="true">INDIRECT("'Ответы на форму (1)'!C"&amp;$L75,TRUE())</f>
        <v>#REF!</v>
      </c>
      <c r="D75" s="0" t="e">
        <f aca="true">INDIRECT("'Ответы на форму (1)'!D"&amp;$L75,TRUE())</f>
        <v>#REF!</v>
      </c>
      <c r="E75" s="0" t="n">
        <f aca="false">IFERROR(__xludf.dummyfunction("iferror(VALUE(REGEXEXTRACT(TEXT(INDIRECT(""'Ответы на форму (1)'!E""&amp;$L75,TRUE),""####""),""[0-9]+"")),INDIRECT(""'Ответы на форму (1)'!E""&amp;$L75,TRUE))"),64)</f>
        <v>64</v>
      </c>
      <c r="F75" s="0" t="e">
        <f aca="true">INDIRECT("'Ответы на форму (1)'!F"&amp;$L75,TRUE())</f>
        <v>#REF!</v>
      </c>
      <c r="G75" s="12" t="e">
        <f aca="true">IFERROR(MID(INDIRECT("'Ответы на форму (1)'!G"&amp;$L75,TRUE()),SEARCH("vk.com",INDIRECT("'Ответы на форму (1)'!G"&amp;$L75,TRUE())),LEN(INDIRECT("'Ответы на форму (1)'!G"&amp;$L75,TRUE()))),INDIRECT("'Ответы на форму (1)'!G"&amp;$L75,TRUE()))</f>
        <v>#REF!</v>
      </c>
      <c r="H75" s="0" t="e">
        <f aca="true">INDIRECT("'Ответы на форму (1)'!H"&amp;$L75,TRUE())</f>
        <v>#REF!</v>
      </c>
      <c r="I75" s="0" t="e">
        <f aca="true">INDIRECT("'Ответы на форму (1)'!I"&amp;$L75,TRUE())</f>
        <v>#REF!</v>
      </c>
      <c r="J75" s="0" t="e">
        <f aca="true">INDIRECT("'Ответы на форму (1)'!J"&amp;$L75,TRUE())</f>
        <v>#REF!</v>
      </c>
      <c r="K75" s="0" t="e">
        <f aca="false" t="array" ref="K75:K75">IF(COUNTIF(concat(TRIM('Список прошлого года'!$B$2:$B$200),TRIM('Список прошлого года'!$C$2:$C$200)),concat(TRIM(B75),TRIM(C75))) &gt; 0,IF(concat(TRIM(B75),TRIM(C75)) = "","","Да"),"Нет")</f>
        <v>#NAME?</v>
      </c>
      <c r="L75" s="1" t="n">
        <v>89</v>
      </c>
      <c r="M75" s="1" t="n">
        <v>-1</v>
      </c>
      <c r="N75" s="1" t="s">
        <v>692</v>
      </c>
    </row>
    <row r="76" customFormat="false" ht="15.75" hidden="false" customHeight="false" outlineLevel="0" collapsed="false">
      <c r="A76" s="11" t="e">
        <f aca="true">INDIRECT("'Ответы на форму (1)'!A"&amp;$L76,TRUE())</f>
        <v>#REF!</v>
      </c>
      <c r="B76" s="0" t="e">
        <f aca="true">INDIRECT("'Ответы на форму (1)'!B"&amp;$L76,TRUE())</f>
        <v>#REF!</v>
      </c>
      <c r="C76" s="0" t="e">
        <f aca="true">INDIRECT("'Ответы на форму (1)'!C"&amp;$L76,TRUE())</f>
        <v>#REF!</v>
      </c>
      <c r="D76" s="0" t="e">
        <f aca="true">INDIRECT("'Ответы на форму (1)'!D"&amp;$L76,TRUE())</f>
        <v>#REF!</v>
      </c>
      <c r="E76" s="0" t="n">
        <f aca="false">IFERROR(__xludf.dummyfunction("iferror(VALUE(REGEXEXTRACT(TEXT(INDIRECT(""'Ответы на форму (1)'!E""&amp;$L76,TRUE),""####""),""[0-9]+"")),INDIRECT(""'Ответы на форму (1)'!E""&amp;$L76,TRUE))"),109)</f>
        <v>109</v>
      </c>
      <c r="F76" s="0" t="e">
        <f aca="true">INDIRECT("'Ответы на форму (1)'!F"&amp;$L76,TRUE())</f>
        <v>#REF!</v>
      </c>
      <c r="G76" s="12" t="e">
        <f aca="true">IFERROR(MID(INDIRECT("'Ответы на форму (1)'!G"&amp;$L76,TRUE()),SEARCH("vk.com",INDIRECT("'Ответы на форму (1)'!G"&amp;$L76,TRUE())),LEN(INDIRECT("'Ответы на форму (1)'!G"&amp;$L76,TRUE()))),INDIRECT("'Ответы на форму (1)'!G"&amp;$L76,TRUE()))</f>
        <v>#REF!</v>
      </c>
      <c r="H76" s="0" t="e">
        <f aca="true">INDIRECT("'Ответы на форму (1)'!H"&amp;$L76,TRUE())</f>
        <v>#REF!</v>
      </c>
      <c r="I76" s="0" t="e">
        <f aca="true">INDIRECT("'Ответы на форму (1)'!I"&amp;$L76,TRUE())</f>
        <v>#REF!</v>
      </c>
      <c r="J76" s="0" t="e">
        <f aca="true">INDIRECT("'Ответы на форму (1)'!J"&amp;$L76,TRUE())</f>
        <v>#REF!</v>
      </c>
      <c r="K76" s="0" t="e">
        <f aca="false" t="array" ref="K76:K76">IF(COUNTIF(concat(TRIM('Список прошлого года'!$B$2:$B$200),TRIM('Список прошлого года'!$C$2:$C$200)),concat(TRIM(B76),TRIM(C76))) &gt; 0,IF(concat(TRIM(B76),TRIM(C76)) = "","","Да"),"Нет")</f>
        <v>#NAME?</v>
      </c>
      <c r="L76" s="1" t="n">
        <v>90</v>
      </c>
      <c r="M76" s="1" t="n">
        <v>1</v>
      </c>
      <c r="N76" s="1" t="s">
        <v>688</v>
      </c>
      <c r="O76" s="1" t="s">
        <v>15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</row>
    <row r="77" customFormat="false" ht="15.75" hidden="false" customHeight="false" outlineLevel="0" collapsed="false">
      <c r="A77" s="6" t="e">
        <f aca="true">INDIRECT("'Ответы на форму (1)'!A"&amp;$L77,TRUE())</f>
        <v>#REF!</v>
      </c>
      <c r="B77" s="7" t="e">
        <f aca="true">INDIRECT("'Ответы на форму (1)'!B"&amp;$L77,TRUE())</f>
        <v>#REF!</v>
      </c>
      <c r="C77" s="7" t="e">
        <f aca="true">INDIRECT("'Ответы на форму (1)'!C"&amp;$L77,TRUE())</f>
        <v>#REF!</v>
      </c>
      <c r="D77" s="7" t="e">
        <f aca="true">INDIRECT("'Ответы на форму (1)'!D"&amp;$L77,TRUE())</f>
        <v>#REF!</v>
      </c>
      <c r="E77" s="7" t="n">
        <f aca="false">IFERROR(__xludf.dummyfunction("iferror(VALUE(REGEXEXTRACT(TEXT(INDIRECT(""'Ответы на форму (1)'!E""&amp;$L77,TRUE),""####""),""[0-9]+"")),INDIRECT(""'Ответы на форму (1)'!E""&amp;$L77,TRUE))"),149)</f>
        <v>149</v>
      </c>
      <c r="F77" s="7" t="e">
        <f aca="true">INDIRECT("'Ответы на форму (1)'!F"&amp;$L77,TRUE())</f>
        <v>#REF!</v>
      </c>
      <c r="G77" s="8" t="e">
        <f aca="true">IFERROR(MID(INDIRECT("'Ответы на форму (1)'!G"&amp;$L77,TRUE()),SEARCH("vk.com",INDIRECT("'Ответы на форму (1)'!G"&amp;$L77,TRUE())),LEN(INDIRECT("'Ответы на форму (1)'!G"&amp;$L77,TRUE()))),INDIRECT("'Ответы на форму (1)'!G"&amp;$L77,TRUE()))</f>
        <v>#REF!</v>
      </c>
      <c r="H77" s="7" t="e">
        <f aca="true">INDIRECT("'Ответы на форму (1)'!H"&amp;$L77,TRUE())</f>
        <v>#REF!</v>
      </c>
      <c r="I77" s="7" t="e">
        <f aca="true">INDIRECT("'Ответы на форму (1)'!I"&amp;$L77,TRUE())</f>
        <v>#REF!</v>
      </c>
      <c r="J77" s="7" t="e">
        <f aca="true">INDIRECT("'Ответы на форму (1)'!J"&amp;$L77,TRUE())</f>
        <v>#REF!</v>
      </c>
      <c r="K77" s="7" t="e">
        <f aca="false" t="array" ref="K77:K77">IF(COUNTIF(concat(TRIM('Список прошлого года'!$B$2:$B$200),TRIM('Список прошлого года'!$C$2:$C$200)),concat(TRIM(B77),TRIM(C77))) &gt; 0,IF(concat(TRIM(B77),TRIM(C77)) = "","","Да"),"Нет")</f>
        <v>#NAME?</v>
      </c>
      <c r="L77" s="5" t="n">
        <v>91</v>
      </c>
      <c r="M77" s="5" t="n">
        <v>2</v>
      </c>
      <c r="N77" s="7"/>
      <c r="O77" s="0" t="s">
        <v>40</v>
      </c>
      <c r="P77" s="7"/>
      <c r="Q77" s="5" t="n">
        <v>1</v>
      </c>
      <c r="R77" s="5" t="n">
        <v>1</v>
      </c>
      <c r="S77" s="5" t="n">
        <v>1</v>
      </c>
      <c r="T77" s="5" t="n">
        <v>1</v>
      </c>
      <c r="U77" s="7"/>
      <c r="V77" s="7"/>
      <c r="W77" s="7"/>
      <c r="X77" s="7"/>
      <c r="Y77" s="7"/>
      <c r="Z77" s="7"/>
    </row>
    <row r="78" customFormat="false" ht="15.75" hidden="false" customHeight="false" outlineLevel="0" collapsed="false">
      <c r="A78" s="11" t="e">
        <f aca="true">INDIRECT("'Ответы на форму (1)'!A"&amp;$L78,TRUE())</f>
        <v>#REF!</v>
      </c>
      <c r="B78" s="0" t="e">
        <f aca="true">INDIRECT("'Ответы на форму (1)'!B"&amp;$L78,TRUE())</f>
        <v>#REF!</v>
      </c>
      <c r="C78" s="0" t="e">
        <f aca="true">INDIRECT("'Ответы на форму (1)'!C"&amp;$L78,TRUE())</f>
        <v>#REF!</v>
      </c>
      <c r="D78" s="0" t="e">
        <f aca="true">INDIRECT("'Ответы на форму (1)'!D"&amp;$L78,TRUE())</f>
        <v>#REF!</v>
      </c>
      <c r="E78" s="0" t="n">
        <f aca="false">IFERROR(__xludf.dummyfunction("iferror(VALUE(REGEXEXTRACT(TEXT(INDIRECT(""'Ответы на форму (1)'!E""&amp;$L78,TRUE),""####""),""[0-9]+"")),INDIRECT(""'Ответы на форму (1)'!E""&amp;$L78,TRUE))"),117)</f>
        <v>117</v>
      </c>
      <c r="F78" s="0" t="e">
        <f aca="true">INDIRECT("'Ответы на форму (1)'!F"&amp;$L78,TRUE())</f>
        <v>#REF!</v>
      </c>
      <c r="G78" s="12" t="e">
        <f aca="true">IFERROR(MID(INDIRECT("'Ответы на форму (1)'!G"&amp;$L78,TRUE()),SEARCH("vk.com",INDIRECT("'Ответы на форму (1)'!G"&amp;$L78,TRUE())),LEN(INDIRECT("'Ответы на форму (1)'!G"&amp;$L78,TRUE()))),INDIRECT("'Ответы на форму (1)'!G"&amp;$L78,TRUE()))</f>
        <v>#REF!</v>
      </c>
      <c r="H78" s="0" t="e">
        <f aca="true">INDIRECT("'Ответы на форму (1)'!H"&amp;$L78,TRUE())</f>
        <v>#REF!</v>
      </c>
      <c r="I78" s="0" t="e">
        <f aca="true">INDIRECT("'Ответы на форму (1)'!I"&amp;$L78,TRUE())</f>
        <v>#REF!</v>
      </c>
      <c r="J78" s="0" t="e">
        <f aca="true">INDIRECT("'Ответы на форму (1)'!J"&amp;$L78,TRUE())</f>
        <v>#REF!</v>
      </c>
      <c r="K78" s="0" t="e">
        <f aca="false" t="array" ref="K78:K78">IF(COUNTIF(concat(TRIM('Список прошлого года'!$B$2:$B$200),TRIM('Список прошлого года'!$C$2:$C$200)),concat(TRIM(B78),TRIM(C78))) &gt; 0,IF(concat(TRIM(B78),TRIM(C78)) = "","","Да"),"Нет")</f>
        <v>#NAME?</v>
      </c>
      <c r="L78" s="1" t="n">
        <v>92</v>
      </c>
      <c r="M78" s="1" t="n">
        <v>2</v>
      </c>
      <c r="O78" s="7" t="s">
        <v>70</v>
      </c>
      <c r="Q78" s="1" t="n">
        <v>1</v>
      </c>
      <c r="R78" s="1" t="n">
        <v>1</v>
      </c>
      <c r="S78" s="1" t="n">
        <v>1</v>
      </c>
      <c r="T78" s="1" t="n">
        <v>1</v>
      </c>
      <c r="U78" s="1" t="n">
        <v>1</v>
      </c>
    </row>
    <row r="79" customFormat="false" ht="15.75" hidden="false" customHeight="false" outlineLevel="0" collapsed="false">
      <c r="A79" s="11" t="e">
        <f aca="true">INDIRECT("'Ответы на форму (1)'!A"&amp;$L79,TRUE())</f>
        <v>#REF!</v>
      </c>
      <c r="B79" s="0" t="e">
        <f aca="true">INDIRECT("'Ответы на форму (1)'!B"&amp;$L79,TRUE())</f>
        <v>#REF!</v>
      </c>
      <c r="C79" s="0" t="e">
        <f aca="true">INDIRECT("'Ответы на форму (1)'!C"&amp;$L79,TRUE())</f>
        <v>#REF!</v>
      </c>
      <c r="D79" s="0" t="e">
        <f aca="true">INDIRECT("'Ответы на форму (1)'!D"&amp;$L79,TRUE())</f>
        <v>#REF!</v>
      </c>
      <c r="E79" s="0" t="n">
        <f aca="false">IFERROR(__xludf.dummyfunction("iferror(VALUE(REGEXEXTRACT(TEXT(INDIRECT(""'Ответы на форму (1)'!E""&amp;$L79,TRUE),""####""),""[0-9]+"")),INDIRECT(""'Ответы на форму (1)'!E""&amp;$L79,TRUE))"),117)</f>
        <v>117</v>
      </c>
      <c r="F79" s="0" t="e">
        <f aca="true">INDIRECT("'Ответы на форму (1)'!F"&amp;$L79,TRUE())</f>
        <v>#REF!</v>
      </c>
      <c r="G79" s="12" t="e">
        <f aca="true">IFERROR(MID(INDIRECT("'Ответы на форму (1)'!G"&amp;$L79,TRUE()),SEARCH("vk.com",INDIRECT("'Ответы на форму (1)'!G"&amp;$L79,TRUE())),LEN(INDIRECT("'Ответы на форму (1)'!G"&amp;$L79,TRUE()))),INDIRECT("'Ответы на форму (1)'!G"&amp;$L79,TRUE()))</f>
        <v>#REF!</v>
      </c>
      <c r="H79" s="0" t="e">
        <f aca="true">INDIRECT("'Ответы на форму (1)'!H"&amp;$L79,TRUE())</f>
        <v>#REF!</v>
      </c>
      <c r="I79" s="0" t="e">
        <f aca="true">INDIRECT("'Ответы на форму (1)'!I"&amp;$L79,TRUE())</f>
        <v>#REF!</v>
      </c>
      <c r="J79" s="0" t="e">
        <f aca="true">INDIRECT("'Ответы на форму (1)'!J"&amp;$L79,TRUE())</f>
        <v>#REF!</v>
      </c>
      <c r="K79" s="0" t="e">
        <f aca="false" t="array" ref="K79:K79">IF(COUNTIF(concat(TRIM('Список прошлого года'!$B$2:$B$200),TRIM('Список прошлого года'!$C$2:$C$200)),concat(TRIM(B79),TRIM(C79))) &gt; 0,IF(concat(TRIM(B79),TRIM(C79)) = "","","Да"),"Нет")</f>
        <v>#NAME?</v>
      </c>
      <c r="L79" s="1" t="n">
        <v>93</v>
      </c>
      <c r="M79" s="1" t="n">
        <v>2</v>
      </c>
      <c r="O79" s="1" t="s">
        <v>14</v>
      </c>
      <c r="Q79" s="1" t="n">
        <v>1</v>
      </c>
      <c r="R79" s="1" t="n">
        <v>1</v>
      </c>
      <c r="S79" s="1" t="n">
        <v>1</v>
      </c>
      <c r="T79" s="1" t="n">
        <v>1</v>
      </c>
      <c r="U79" s="1" t="n">
        <v>1</v>
      </c>
    </row>
    <row r="80" customFormat="false" ht="15.75" hidden="false" customHeight="false" outlineLevel="0" collapsed="false">
      <c r="A80" s="11" t="e">
        <f aca="true">INDIRECT("'Ответы на форму (1)'!A"&amp;$L80,TRUE())</f>
        <v>#REF!</v>
      </c>
      <c r="B80" s="0" t="e">
        <f aca="true">INDIRECT("'Ответы на форму (1)'!B"&amp;$L80,TRUE())</f>
        <v>#REF!</v>
      </c>
      <c r="C80" s="0" t="e">
        <f aca="true">INDIRECT("'Ответы на форму (1)'!C"&amp;$L80,TRUE())</f>
        <v>#REF!</v>
      </c>
      <c r="D80" s="0" t="e">
        <f aca="true">INDIRECT("'Ответы на форму (1)'!D"&amp;$L80,TRUE())</f>
        <v>#REF!</v>
      </c>
      <c r="E80" s="0" t="n">
        <f aca="false">IFERROR(__xludf.dummyfunction("iferror(VALUE(REGEXEXTRACT(TEXT(INDIRECT(""'Ответы на форму (1)'!E""&amp;$L80,TRUE),""####""),""[0-9]+"")),INDIRECT(""'Ответы на форму (1)'!E""&amp;$L80,TRUE))"),117)</f>
        <v>117</v>
      </c>
      <c r="F80" s="0" t="e">
        <f aca="true">INDIRECT("'Ответы на форму (1)'!F"&amp;$L80,TRUE())</f>
        <v>#REF!</v>
      </c>
      <c r="G80" s="12" t="e">
        <f aca="true">IFERROR(MID(INDIRECT("'Ответы на форму (1)'!G"&amp;$L80,TRUE()),SEARCH("vk.com",INDIRECT("'Ответы на форму (1)'!G"&amp;$L80,TRUE())),LEN(INDIRECT("'Ответы на форму (1)'!G"&amp;$L80,TRUE()))),INDIRECT("'Ответы на форму (1)'!G"&amp;$L80,TRUE()))</f>
        <v>#REF!</v>
      </c>
      <c r="H80" s="0" t="e">
        <f aca="true">INDIRECT("'Ответы на форму (1)'!H"&amp;$L80,TRUE())</f>
        <v>#REF!</v>
      </c>
      <c r="I80" s="0" t="e">
        <f aca="true">INDIRECT("'Ответы на форму (1)'!I"&amp;$L80,TRUE())</f>
        <v>#REF!</v>
      </c>
      <c r="J80" s="0" t="e">
        <f aca="true">INDIRECT("'Ответы на форму (1)'!J"&amp;$L80,TRUE())</f>
        <v>#REF!</v>
      </c>
      <c r="K80" s="0" t="e">
        <f aca="false" t="array" ref="K80:K80">IF(COUNTIF(concat(TRIM('Список прошлого года'!$B$2:$B$200),TRIM('Список прошлого года'!$C$2:$C$200)),concat(TRIM(B80),TRIM(C80))) &gt; 0,IF(concat(TRIM(B80),TRIM(C80)) = "","","Да"),"Нет")</f>
        <v>#NAME?</v>
      </c>
      <c r="L80" s="1" t="n">
        <v>94</v>
      </c>
      <c r="M80" s="1" t="n">
        <v>-1</v>
      </c>
      <c r="N80" s="1" t="s">
        <v>693</v>
      </c>
    </row>
    <row r="81" customFormat="false" ht="15.75" hidden="false" customHeight="false" outlineLevel="0" collapsed="false">
      <c r="A81" s="6" t="e">
        <f aca="true">INDIRECT("'Ответы на форму (1)'!A"&amp;$L81,TRUE())</f>
        <v>#REF!</v>
      </c>
      <c r="B81" s="7" t="e">
        <f aca="true">INDIRECT("'Ответы на форму (1)'!B"&amp;$L81,TRUE())</f>
        <v>#REF!</v>
      </c>
      <c r="C81" s="7" t="e">
        <f aca="true">INDIRECT("'Ответы на форму (1)'!C"&amp;$L81,TRUE())</f>
        <v>#REF!</v>
      </c>
      <c r="D81" s="7" t="e">
        <f aca="true">INDIRECT("'Ответы на форму (1)'!D"&amp;$L81,TRUE())</f>
        <v>#REF!</v>
      </c>
      <c r="E81" s="7" t="n">
        <f aca="false">IFERROR(__xludf.dummyfunction("iferror(VALUE(REGEXEXTRACT(TEXT(INDIRECT(""'Ответы на форму (1)'!E""&amp;$L81,TRUE),""####""),""[0-9]+"")),INDIRECT(""'Ответы на форму (1)'!E""&amp;$L81,TRUE))"),117)</f>
        <v>117</v>
      </c>
      <c r="F81" s="7" t="e">
        <f aca="true">INDIRECT("'Ответы на форму (1)'!F"&amp;$L81,TRUE())</f>
        <v>#REF!</v>
      </c>
      <c r="G81" s="8" t="e">
        <f aca="true">IFERROR(MID(INDIRECT("'Ответы на форму (1)'!G"&amp;$L81,TRUE()),SEARCH("vk.com",INDIRECT("'Ответы на форму (1)'!G"&amp;$L81,TRUE())),LEN(INDIRECT("'Ответы на форму (1)'!G"&amp;$L81,TRUE()))),INDIRECT("'Ответы на форму (1)'!G"&amp;$L81,TRUE()))</f>
        <v>#REF!</v>
      </c>
      <c r="H81" s="7" t="e">
        <f aca="true">INDIRECT("'Ответы на форму (1)'!H"&amp;$L81,TRUE())</f>
        <v>#REF!</v>
      </c>
      <c r="I81" s="7" t="e">
        <f aca="true">INDIRECT("'Ответы на форму (1)'!I"&amp;$L81,TRUE())</f>
        <v>#REF!</v>
      </c>
      <c r="J81" s="7" t="e">
        <f aca="true">INDIRECT("'Ответы на форму (1)'!J"&amp;$L81,TRUE())</f>
        <v>#REF!</v>
      </c>
      <c r="K81" s="7" t="e">
        <f aca="false" t="array" ref="K81:K81">IF(COUNTIF(concat(TRIM('Список прошлого года'!$B$2:$B$200),TRIM('Список прошлого года'!$C$2:$C$200)),concat(TRIM(B81),TRIM(C81))) &gt; 0,IF(concat(TRIM(B81),TRIM(C81)) = "","","Да"),"Нет")</f>
        <v>#NAME?</v>
      </c>
      <c r="L81" s="5" t="n">
        <v>95</v>
      </c>
      <c r="M81" s="5" t="n">
        <v>2</v>
      </c>
      <c r="N81" s="7"/>
      <c r="O81" s="1" t="s">
        <v>14</v>
      </c>
      <c r="P81" s="7"/>
      <c r="Q81" s="1" t="n">
        <v>1</v>
      </c>
      <c r="R81" s="1" t="n">
        <v>1</v>
      </c>
      <c r="S81" s="1" t="n">
        <v>1</v>
      </c>
      <c r="T81" s="1" t="n">
        <v>1</v>
      </c>
      <c r="U81" s="1" t="n">
        <v>1</v>
      </c>
      <c r="V81" s="7"/>
      <c r="W81" s="7"/>
      <c r="X81" s="7"/>
      <c r="Y81" s="7"/>
      <c r="Z81" s="7"/>
    </row>
    <row r="82" customFormat="false" ht="15.75" hidden="false" customHeight="false" outlineLevel="0" collapsed="false">
      <c r="A82" s="6" t="e">
        <f aca="true">INDIRECT("'Ответы на форму (1)'!A"&amp;$L82,TRUE())</f>
        <v>#REF!</v>
      </c>
      <c r="B82" s="7" t="e">
        <f aca="true">INDIRECT("'Ответы на форму (1)'!B"&amp;$L82,TRUE())</f>
        <v>#REF!</v>
      </c>
      <c r="C82" s="7" t="e">
        <f aca="true">INDIRECT("'Ответы на форму (1)'!C"&amp;$L82,TRUE())</f>
        <v>#REF!</v>
      </c>
      <c r="D82" s="7" t="e">
        <f aca="true">INDIRECT("'Ответы на форму (1)'!D"&amp;$L82,TRUE())</f>
        <v>#REF!</v>
      </c>
      <c r="E82" s="7" t="n">
        <f aca="false">IFERROR(__xludf.dummyfunction("iferror(VALUE(REGEXEXTRACT(TEXT(INDIRECT(""'Ответы на форму (1)'!E""&amp;$L82,TRUE),""####""),""[0-9]+"")),INDIRECT(""'Ответы на форму (1)'!E""&amp;$L82,TRUE))"),117)</f>
        <v>117</v>
      </c>
      <c r="F82" s="7" t="e">
        <f aca="true">INDIRECT("'Ответы на форму (1)'!F"&amp;$L82,TRUE())</f>
        <v>#REF!</v>
      </c>
      <c r="G82" s="8" t="e">
        <f aca="true">IFERROR(MID(INDIRECT("'Ответы на форму (1)'!G"&amp;$L82,TRUE()),SEARCH("vk.com",INDIRECT("'Ответы на форму (1)'!G"&amp;$L82,TRUE())),LEN(INDIRECT("'Ответы на форму (1)'!G"&amp;$L82,TRUE()))),INDIRECT("'Ответы на форму (1)'!G"&amp;$L82,TRUE()))</f>
        <v>#REF!</v>
      </c>
      <c r="H82" s="7" t="e">
        <f aca="true">INDIRECT("'Ответы на форму (1)'!H"&amp;$L82,TRUE())</f>
        <v>#REF!</v>
      </c>
      <c r="I82" s="7" t="e">
        <f aca="true">INDIRECT("'Ответы на форму (1)'!I"&amp;$L82,TRUE())</f>
        <v>#REF!</v>
      </c>
      <c r="J82" s="7" t="e">
        <f aca="true">INDIRECT("'Ответы на форму (1)'!J"&amp;$L82,TRUE())</f>
        <v>#REF!</v>
      </c>
      <c r="K82" s="7" t="e">
        <f aca="false" t="array" ref="K82:K82">IF(COUNTIF(concat(TRIM('Список прошлого года'!$B$2:$B$200),TRIM('Список прошлого года'!$C$2:$C$200)),concat(TRIM(B82),TRIM(C82))) &gt; 0,IF(concat(TRIM(B82),TRIM(C82)) = "","","Да"),"Нет")</f>
        <v>#NAME?</v>
      </c>
      <c r="L82" s="5" t="n">
        <v>96</v>
      </c>
      <c r="M82" s="5" t="n">
        <v>2</v>
      </c>
      <c r="N82" s="7"/>
      <c r="O82" s="7" t="s">
        <v>180</v>
      </c>
      <c r="P82" s="7"/>
      <c r="Q82" s="1" t="n">
        <v>1</v>
      </c>
      <c r="R82" s="1" t="n">
        <v>1</v>
      </c>
      <c r="S82" s="1" t="n">
        <v>1</v>
      </c>
      <c r="T82" s="1" t="n">
        <v>1</v>
      </c>
      <c r="U82" s="1" t="n">
        <v>1</v>
      </c>
      <c r="V82" s="7"/>
      <c r="W82" s="7"/>
      <c r="X82" s="7"/>
      <c r="Y82" s="7"/>
      <c r="Z82" s="7"/>
    </row>
    <row r="83" customFormat="false" ht="15.75" hidden="false" customHeight="false" outlineLevel="0" collapsed="false">
      <c r="A83" s="11" t="e">
        <f aca="true">INDIRECT("'Ответы на форму (1)'!A"&amp;$L83,TRUE())</f>
        <v>#REF!</v>
      </c>
      <c r="B83" s="0" t="e">
        <f aca="true">INDIRECT("'Ответы на форму (1)'!B"&amp;$L83,TRUE())</f>
        <v>#REF!</v>
      </c>
      <c r="C83" s="0" t="e">
        <f aca="true">INDIRECT("'Ответы на форму (1)'!C"&amp;$L83,TRUE())</f>
        <v>#REF!</v>
      </c>
      <c r="D83" s="0" t="e">
        <f aca="true">INDIRECT("'Ответы на форму (1)'!D"&amp;$L83,TRUE())</f>
        <v>#REF!</v>
      </c>
      <c r="E83" s="0" t="n">
        <f aca="false">IFERROR(__xludf.dummyfunction("iferror(VALUE(REGEXEXTRACT(TEXT(INDIRECT(""'Ответы на форму (1)'!E""&amp;$L83,TRUE),""####""),""[0-9]+"")),INDIRECT(""'Ответы на форму (1)'!E""&amp;$L83,TRUE))"),19)</f>
        <v>19</v>
      </c>
      <c r="F83" s="0" t="e">
        <f aca="true">INDIRECT("'Ответы на форму (1)'!F"&amp;$L83,TRUE())</f>
        <v>#REF!</v>
      </c>
      <c r="G83" s="12" t="e">
        <f aca="true">IFERROR(MID(INDIRECT("'Ответы на форму (1)'!G"&amp;$L83,TRUE()),SEARCH("vk.com",INDIRECT("'Ответы на форму (1)'!G"&amp;$L83,TRUE())),LEN(INDIRECT("'Ответы на форму (1)'!G"&amp;$L83,TRUE()))),INDIRECT("'Ответы на форму (1)'!G"&amp;$L83,TRUE()))</f>
        <v>#REF!</v>
      </c>
      <c r="H83" s="0" t="e">
        <f aca="true">INDIRECT("'Ответы на форму (1)'!H"&amp;$L83,TRUE())</f>
        <v>#REF!</v>
      </c>
      <c r="I83" s="0" t="e">
        <f aca="true">INDIRECT("'Ответы на форму (1)'!I"&amp;$L83,TRUE())</f>
        <v>#REF!</v>
      </c>
      <c r="J83" s="0" t="e">
        <f aca="true">INDIRECT("'Ответы на форму (1)'!J"&amp;$L83,TRUE())</f>
        <v>#REF!</v>
      </c>
      <c r="K83" s="0" t="e">
        <f aca="false" t="array" ref="K83:K83">IF(COUNTIF(concat(TRIM('Список прошлого года'!$B$2:$B$200),TRIM('Список прошлого года'!$C$2:$C$200)),concat(TRIM(B83),TRIM(C83))) &gt; 0,IF(concat(TRIM(B83),TRIM(C83)) = "","","Да"),"Нет")</f>
        <v>#NAME?</v>
      </c>
      <c r="L83" s="1" t="n">
        <v>97</v>
      </c>
      <c r="M83" s="1" t="n">
        <v>-1</v>
      </c>
    </row>
    <row r="84" customFormat="false" ht="15.75" hidden="false" customHeight="false" outlineLevel="0" collapsed="false">
      <c r="A84" s="11" t="e">
        <f aca="true">INDIRECT("'Ответы на форму (1)'!A"&amp;$L84,TRUE())</f>
        <v>#REF!</v>
      </c>
      <c r="B84" s="0" t="e">
        <f aca="true">INDIRECT("'Ответы на форму (1)'!B"&amp;$L84,TRUE())</f>
        <v>#REF!</v>
      </c>
      <c r="C84" s="0" t="e">
        <f aca="true">INDIRECT("'Ответы на форму (1)'!C"&amp;$L84,TRUE())</f>
        <v>#REF!</v>
      </c>
      <c r="D84" s="0" t="e">
        <f aca="true">INDIRECT("'Ответы на форму (1)'!D"&amp;$L84,TRUE())</f>
        <v>#REF!</v>
      </c>
      <c r="E84" s="0" t="n">
        <f aca="false">IFERROR(__xludf.dummyfunction("iferror(VALUE(REGEXEXTRACT(TEXT(INDIRECT(""'Ответы на форму (1)'!E""&amp;$L84,TRUE),""####""),""[0-9]+"")),INDIRECT(""'Ответы на форму (1)'!E""&amp;$L84,TRUE))"),64)</f>
        <v>64</v>
      </c>
      <c r="F84" s="0" t="e">
        <f aca="true">INDIRECT("'Ответы на форму (1)'!F"&amp;$L84,TRUE())</f>
        <v>#REF!</v>
      </c>
      <c r="G84" s="0" t="e">
        <f aca="true">IFERROR(MID(INDIRECT("'Ответы на форму (1)'!G"&amp;$L84,TRUE()),SEARCH("vk.com",INDIRECT("'Ответы на форму (1)'!G"&amp;$L84,TRUE())),LEN(INDIRECT("'Ответы на форму (1)'!G"&amp;$L84,TRUE()))),INDIRECT("'Ответы на форму (1)'!G"&amp;$L84,TRUE()))</f>
        <v>#REF!</v>
      </c>
      <c r="H84" s="0" t="e">
        <f aca="true">INDIRECT("'Ответы на форму (1)'!H"&amp;$L84,TRUE())</f>
        <v>#REF!</v>
      </c>
      <c r="I84" s="0" t="e">
        <f aca="true">INDIRECT("'Ответы на форму (1)'!I"&amp;$L84,TRUE())</f>
        <v>#REF!</v>
      </c>
      <c r="J84" s="0" t="e">
        <f aca="true">INDIRECT("'Ответы на форму (1)'!J"&amp;$L84,TRUE())</f>
        <v>#REF!</v>
      </c>
      <c r="K84" s="0" t="e">
        <f aca="false" t="array" ref="K84:K84">IF(COUNTIF(concat(TRIM('Список прошлого года'!$B$2:$B$200),TRIM('Список прошлого года'!$C$2:$C$200)),concat(TRIM(B84),TRIM(C84))) &gt; 0,IF(concat(TRIM(B84),TRIM(C84)) = "","","Да"),"Нет")</f>
        <v>#NAME?</v>
      </c>
      <c r="L84" s="1" t="n">
        <v>98</v>
      </c>
      <c r="M84" s="1" t="n">
        <v>2</v>
      </c>
      <c r="O84" s="7" t="s">
        <v>29</v>
      </c>
      <c r="Q84" s="1" t="n">
        <v>1</v>
      </c>
      <c r="R84" s="1" t="n">
        <v>1</v>
      </c>
      <c r="S84" s="1" t="n">
        <v>1</v>
      </c>
      <c r="T84" s="1" t="n">
        <v>1</v>
      </c>
      <c r="U84" s="1" t="n">
        <v>1</v>
      </c>
    </row>
    <row r="85" customFormat="false" ht="15.75" hidden="false" customHeight="false" outlineLevel="0" collapsed="false">
      <c r="A85" s="11" t="e">
        <f aca="true">INDIRECT("'Ответы на форму (1)'!A"&amp;$L85,TRUE())</f>
        <v>#REF!</v>
      </c>
      <c r="B85" s="0" t="e">
        <f aca="true">INDIRECT("'Ответы на форму (1)'!B"&amp;$L85,TRUE())</f>
        <v>#REF!</v>
      </c>
      <c r="C85" s="0" t="e">
        <f aca="true">INDIRECT("'Ответы на форму (1)'!C"&amp;$L85,TRUE())</f>
        <v>#REF!</v>
      </c>
      <c r="D85" s="0" t="e">
        <f aca="true">INDIRECT("'Ответы на форму (1)'!D"&amp;$L85,TRUE())</f>
        <v>#REF!</v>
      </c>
      <c r="E85" s="0" t="n">
        <f aca="false">IFERROR(__xludf.dummyfunction("iferror(VALUE(REGEXEXTRACT(TEXT(INDIRECT(""'Ответы на форму (1)'!E""&amp;$L85,TRUE),""####""),""[0-9]+"")),INDIRECT(""'Ответы на форму (1)'!E""&amp;$L85,TRUE))"),43)</f>
        <v>43</v>
      </c>
      <c r="F85" s="0" t="e">
        <f aca="true">INDIRECT("'Ответы на форму (1)'!F"&amp;$L85,TRUE())</f>
        <v>#REF!</v>
      </c>
      <c r="G85" s="12" t="e">
        <f aca="true">IFERROR(MID(INDIRECT("'Ответы на форму (1)'!G"&amp;$L85,TRUE()),SEARCH("vk.com",INDIRECT("'Ответы на форму (1)'!G"&amp;$L85,TRUE())),LEN(INDIRECT("'Ответы на форму (1)'!G"&amp;$L85,TRUE()))),INDIRECT("'Ответы на форму (1)'!G"&amp;$L85,TRUE()))</f>
        <v>#REF!</v>
      </c>
      <c r="H85" s="0" t="e">
        <f aca="true">INDIRECT("'Ответы на форму (1)'!H"&amp;$L85,TRUE())</f>
        <v>#REF!</v>
      </c>
      <c r="I85" s="0" t="e">
        <f aca="true">INDIRECT("'Ответы на форму (1)'!I"&amp;$L85,TRUE())</f>
        <v>#REF!</v>
      </c>
      <c r="J85" s="0" t="e">
        <f aca="true">INDIRECT("'Ответы на форму (1)'!J"&amp;$L85,TRUE())</f>
        <v>#REF!</v>
      </c>
      <c r="K85" s="0" t="e">
        <f aca="false" t="array" ref="K85:K85">IF(COUNTIF(concat(TRIM('Список прошлого года'!$B$2:$B$200),TRIM('Список прошлого года'!$C$2:$C$200)),concat(TRIM(B85),TRIM(C85))) &gt; 0,IF(concat(TRIM(B85),TRIM(C85)) = "","","Да"),"Нет")</f>
        <v>#NAME?</v>
      </c>
      <c r="L85" s="1" t="n">
        <v>99</v>
      </c>
      <c r="M85" s="1" t="n">
        <v>2</v>
      </c>
      <c r="N85" s="1" t="s">
        <v>694</v>
      </c>
      <c r="O85" s="7" t="s">
        <v>29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</row>
    <row r="86" customFormat="false" ht="15.75" hidden="false" customHeight="false" outlineLevel="0" collapsed="false">
      <c r="A86" s="6" t="e">
        <f aca="true">INDIRECT("'Ответы на форму (1)'!A"&amp;$L86,TRUE())</f>
        <v>#REF!</v>
      </c>
      <c r="B86" s="7" t="e">
        <f aca="true">INDIRECT("'Ответы на форму (1)'!B"&amp;$L86,TRUE())</f>
        <v>#REF!</v>
      </c>
      <c r="C86" s="7" t="e">
        <f aca="true">INDIRECT("'Ответы на форму (1)'!C"&amp;$L86,TRUE())</f>
        <v>#REF!</v>
      </c>
      <c r="D86" s="7" t="e">
        <f aca="true">INDIRECT("'Ответы на форму (1)'!D"&amp;$L86,TRUE())</f>
        <v>#REF!</v>
      </c>
      <c r="E86" s="7" t="n">
        <f aca="false">IFERROR(__xludf.dummyfunction("iferror(VALUE(REGEXEXTRACT(TEXT(INDIRECT(""'Ответы на форму (1)'!E""&amp;$L86,TRUE),""####""),""[0-9]+"")),INDIRECT(""'Ответы на форму (1)'!E""&amp;$L86,TRUE))"),117)</f>
        <v>117</v>
      </c>
      <c r="F86" s="7" t="e">
        <f aca="true">INDIRECT("'Ответы на форму (1)'!F"&amp;$L86,TRUE())</f>
        <v>#REF!</v>
      </c>
      <c r="G86" s="8" t="e">
        <f aca="true">IFERROR(MID(INDIRECT("'Ответы на форму (1)'!G"&amp;$L86,TRUE()),SEARCH("vk.com",INDIRECT("'Ответы на форму (1)'!G"&amp;$L86,TRUE())),LEN(INDIRECT("'Ответы на форму (1)'!G"&amp;$L86,TRUE()))),INDIRECT("'Ответы на форму (1)'!G"&amp;$L86,TRUE()))</f>
        <v>#REF!</v>
      </c>
      <c r="H86" s="7" t="e">
        <f aca="true">INDIRECT("'Ответы на форму (1)'!H"&amp;$L86,TRUE())</f>
        <v>#REF!</v>
      </c>
      <c r="I86" s="7" t="e">
        <f aca="true">INDIRECT("'Ответы на форму (1)'!I"&amp;$L86,TRUE())</f>
        <v>#REF!</v>
      </c>
      <c r="J86" s="7" t="e">
        <f aca="true">INDIRECT("'Ответы на форму (1)'!J"&amp;$L86,TRUE())</f>
        <v>#REF!</v>
      </c>
      <c r="K86" s="7" t="e">
        <f aca="false" t="array" ref="K86:K86">IF(COUNTIF(concat(TRIM('Список прошлого года'!$B$2:$B$200),TRIM('Список прошлого года'!$C$2:$C$200)),concat(TRIM(B86),TRIM(C86))) &gt; 0,IF(concat(TRIM(B86),TRIM(C86)) = "","","Да"),"Нет")</f>
        <v>#NAME?</v>
      </c>
      <c r="L86" s="5" t="n">
        <v>100</v>
      </c>
      <c r="M86" s="5" t="n">
        <v>2</v>
      </c>
      <c r="N86" s="7"/>
      <c r="O86" s="0" t="s">
        <v>40</v>
      </c>
      <c r="P86" s="7"/>
      <c r="Q86" s="5" t="n">
        <v>1</v>
      </c>
      <c r="R86" s="5" t="n">
        <v>1</v>
      </c>
      <c r="S86" s="5" t="n">
        <v>1</v>
      </c>
      <c r="T86" s="5" t="n">
        <v>1</v>
      </c>
      <c r="U86" s="7"/>
      <c r="V86" s="7"/>
      <c r="W86" s="7"/>
      <c r="X86" s="7"/>
      <c r="Y86" s="7"/>
      <c r="Z86" s="7"/>
    </row>
    <row r="87" customFormat="false" ht="15.75" hidden="false" customHeight="false" outlineLevel="0" collapsed="false">
      <c r="A87" s="6" t="e">
        <f aca="true">INDIRECT("'Ответы на форму (1)'!A"&amp;$L87,TRUE())</f>
        <v>#REF!</v>
      </c>
      <c r="B87" s="7" t="e">
        <f aca="true">INDIRECT("'Ответы на форму (1)'!B"&amp;$L87,TRUE())</f>
        <v>#REF!</v>
      </c>
      <c r="C87" s="7" t="e">
        <f aca="true">INDIRECT("'Ответы на форму (1)'!C"&amp;$L87,TRUE())</f>
        <v>#REF!</v>
      </c>
      <c r="D87" s="7" t="e">
        <f aca="true">INDIRECT("'Ответы на форму (1)'!D"&amp;$L87,TRUE())</f>
        <v>#REF!</v>
      </c>
      <c r="E87" s="7" t="n">
        <f aca="false">IFERROR(__xludf.dummyfunction("iferror(VALUE(REGEXEXTRACT(TEXT(INDIRECT(""'Ответы на форму (1)'!E""&amp;$L87,TRUE),""####""),""[0-9]+"")),INDIRECT(""'Ответы на форму (1)'!E""&amp;$L87,TRUE))"),117)</f>
        <v>117</v>
      </c>
      <c r="F87" s="7" t="e">
        <f aca="true">INDIRECT("'Ответы на форму (1)'!F"&amp;$L87,TRUE())</f>
        <v>#REF!</v>
      </c>
      <c r="G87" s="7" t="e">
        <f aca="true">IFERROR(MID(INDIRECT("'Ответы на форму (1)'!G"&amp;$L87,TRUE()),SEARCH("vk.com",INDIRECT("'Ответы на форму (1)'!G"&amp;$L87,TRUE())),LEN(INDIRECT("'Ответы на форму (1)'!G"&amp;$L87,TRUE()))),INDIRECT("'Ответы на форму (1)'!G"&amp;$L87,TRUE()))</f>
        <v>#REF!</v>
      </c>
      <c r="H87" s="7" t="e">
        <f aca="true">INDIRECT("'Ответы на форму (1)'!H"&amp;$L87,TRUE())</f>
        <v>#REF!</v>
      </c>
      <c r="I87" s="7" t="e">
        <f aca="true">INDIRECT("'Ответы на форму (1)'!I"&amp;$L87,TRUE())</f>
        <v>#REF!</v>
      </c>
      <c r="J87" s="7" t="e">
        <f aca="true">INDIRECT("'Ответы на форму (1)'!J"&amp;$L87,TRUE())</f>
        <v>#REF!</v>
      </c>
      <c r="K87" s="7" t="e">
        <f aca="false" t="array" ref="K87:K87">IF(COUNTIF(concat(TRIM('Список прошлого года'!$B$2:$B$200),TRIM('Список прошлого года'!$C$2:$C$200)),concat(TRIM(B87),TRIM(C87))) &gt; 0,IF(concat(TRIM(B87),TRIM(C87)) = "","","Да"),"Нет")</f>
        <v>#NAME?</v>
      </c>
      <c r="L87" s="5" t="n">
        <v>101</v>
      </c>
      <c r="M87" s="5" t="n">
        <v>1</v>
      </c>
      <c r="N87" s="7"/>
      <c r="O87" s="0" t="s">
        <v>40</v>
      </c>
      <c r="P87" s="7"/>
      <c r="Q87" s="5" t="n">
        <v>1</v>
      </c>
      <c r="R87" s="5" t="n">
        <v>1</v>
      </c>
      <c r="S87" s="5" t="n">
        <v>1</v>
      </c>
      <c r="T87" s="5" t="n">
        <v>1</v>
      </c>
      <c r="U87" s="7"/>
      <c r="V87" s="7"/>
      <c r="W87" s="7"/>
      <c r="X87" s="7"/>
      <c r="Y87" s="7"/>
      <c r="Z87" s="7"/>
    </row>
    <row r="88" customFormat="false" ht="15.75" hidden="false" customHeight="false" outlineLevel="0" collapsed="false">
      <c r="A88" s="6" t="e">
        <f aca="true">INDIRECT("'Ответы на форму (1)'!A"&amp;$L88,TRUE())</f>
        <v>#REF!</v>
      </c>
      <c r="B88" s="7" t="e">
        <f aca="true">INDIRECT("'Ответы на форму (1)'!B"&amp;$L88,TRUE())</f>
        <v>#REF!</v>
      </c>
      <c r="C88" s="7" t="e">
        <f aca="true">INDIRECT("'Ответы на форму (1)'!C"&amp;$L88,TRUE())</f>
        <v>#REF!</v>
      </c>
      <c r="D88" s="7" t="e">
        <f aca="true">INDIRECT("'Ответы на форму (1)'!D"&amp;$L88,TRUE())</f>
        <v>#REF!</v>
      </c>
      <c r="E88" s="7" t="n">
        <f aca="false">IFERROR(__xludf.dummyfunction("iferror(VALUE(REGEXEXTRACT(TEXT(INDIRECT(""'Ответы на форму (1)'!E""&amp;$L88,TRUE),""####""),""[0-9]+"")),INDIRECT(""'Ответы на форму (1)'!E""&amp;$L88,TRUE))"),117)</f>
        <v>117</v>
      </c>
      <c r="F88" s="7" t="e">
        <f aca="true">INDIRECT("'Ответы на форму (1)'!F"&amp;$L88,TRUE())</f>
        <v>#REF!</v>
      </c>
      <c r="G88" s="8" t="e">
        <f aca="true">IFERROR(MID(INDIRECT("'Ответы на форму (1)'!G"&amp;$L88,TRUE()),SEARCH("vk.com",INDIRECT("'Ответы на форму (1)'!G"&amp;$L88,TRUE())),LEN(INDIRECT("'Ответы на форму (1)'!G"&amp;$L88,TRUE()))),INDIRECT("'Ответы на форму (1)'!G"&amp;$L88,TRUE()))</f>
        <v>#REF!</v>
      </c>
      <c r="H88" s="7" t="e">
        <f aca="true">INDIRECT("'Ответы на форму (1)'!H"&amp;$L88,TRUE())</f>
        <v>#REF!</v>
      </c>
      <c r="I88" s="7" t="e">
        <f aca="true">INDIRECT("'Ответы на форму (1)'!I"&amp;$L88,TRUE())</f>
        <v>#REF!</v>
      </c>
      <c r="J88" s="7" t="e">
        <f aca="true">INDIRECT("'Ответы на форму (1)'!J"&amp;$L88,TRUE())</f>
        <v>#REF!</v>
      </c>
      <c r="K88" s="7" t="e">
        <f aca="false" t="array" ref="K88:K88">IF(COUNTIF(concat(TRIM('Список прошлого года'!$B$2:$B$200),TRIM('Список прошлого года'!$C$2:$C$200)),concat(TRIM(B88),TRIM(C88))) &gt; 0,IF(concat(TRIM(B88),TRIM(C88)) = "","","Да"),"Нет")</f>
        <v>#NAME?</v>
      </c>
      <c r="L88" s="5" t="n">
        <v>102</v>
      </c>
      <c r="M88" s="5" t="n">
        <v>2</v>
      </c>
      <c r="N88" s="7"/>
      <c r="O88" s="7" t="s">
        <v>50</v>
      </c>
      <c r="P88" s="7"/>
      <c r="Q88" s="5" t="n">
        <v>0</v>
      </c>
      <c r="R88" s="5" t="n">
        <v>0</v>
      </c>
      <c r="S88" s="5" t="n">
        <v>0</v>
      </c>
      <c r="T88" s="5" t="n">
        <v>0</v>
      </c>
      <c r="U88" s="5" t="n">
        <v>1</v>
      </c>
      <c r="V88" s="7"/>
      <c r="W88" s="7"/>
      <c r="X88" s="7"/>
      <c r="Y88" s="7"/>
      <c r="Z88" s="7"/>
    </row>
    <row r="89" customFormat="false" ht="15.75" hidden="false" customHeight="false" outlineLevel="0" collapsed="false">
      <c r="A89" s="11" t="e">
        <f aca="true">INDIRECT("'Ответы на форму (1)'!A"&amp;$L89,TRUE())</f>
        <v>#REF!</v>
      </c>
      <c r="B89" s="0" t="e">
        <f aca="true">INDIRECT("'Ответы на форму (1)'!B"&amp;$L89,TRUE())</f>
        <v>#REF!</v>
      </c>
      <c r="C89" s="0" t="e">
        <f aca="true">INDIRECT("'Ответы на форму (1)'!C"&amp;$L89,TRUE())</f>
        <v>#REF!</v>
      </c>
      <c r="D89" s="0" t="e">
        <f aca="true">INDIRECT("'Ответы на форму (1)'!D"&amp;$L89,TRUE())</f>
        <v>#REF!</v>
      </c>
      <c r="E89" s="0" t="n">
        <f aca="false">IFERROR(__xludf.dummyfunction("iferror(VALUE(REGEXEXTRACT(TEXT(INDIRECT(""'Ответы на форму (1)'!E""&amp;$L89,TRUE),""####""),""[0-9]+"")),INDIRECT(""'Ответы на форму (1)'!E""&amp;$L89,TRUE))"),117)</f>
        <v>117</v>
      </c>
      <c r="F89" s="0" t="e">
        <f aca="true">INDIRECT("'Ответы на форму (1)'!F"&amp;$L89,TRUE())</f>
        <v>#REF!</v>
      </c>
      <c r="G89" s="12" t="e">
        <f aca="true">IFERROR(MID(INDIRECT("'Ответы на форму (1)'!G"&amp;$L89,TRUE()),SEARCH("vk.com",INDIRECT("'Ответы на форму (1)'!G"&amp;$L89,TRUE())),LEN(INDIRECT("'Ответы на форму (1)'!G"&amp;$L89,TRUE()))),INDIRECT("'Ответы на форму (1)'!G"&amp;$L89,TRUE()))</f>
        <v>#REF!</v>
      </c>
      <c r="H89" s="0" t="e">
        <f aca="true">INDIRECT("'Ответы на форму (1)'!H"&amp;$L89,TRUE())</f>
        <v>#REF!</v>
      </c>
      <c r="I89" s="0" t="e">
        <f aca="true">INDIRECT("'Ответы на форму (1)'!I"&amp;$L89,TRUE())</f>
        <v>#REF!</v>
      </c>
      <c r="J89" s="0" t="e">
        <f aca="true">INDIRECT("'Ответы на форму (1)'!J"&amp;$L89,TRUE())</f>
        <v>#REF!</v>
      </c>
      <c r="K89" s="0" t="e">
        <f aca="false" t="array" ref="K89:K89">IF(COUNTIF(concat(TRIM('Список прошлого года'!$B$2:$B$200),TRIM('Список прошлого года'!$C$2:$C$200)),concat(TRIM(B89),TRIM(C89))) &gt; 0,IF(concat(TRIM(B89),TRIM(C89)) = "","","Да"),"Нет")</f>
        <v>#NAME?</v>
      </c>
      <c r="L89" s="1" t="n">
        <v>103</v>
      </c>
      <c r="M89" s="1" t="n">
        <v>2</v>
      </c>
      <c r="N89" s="1" t="s">
        <v>695</v>
      </c>
      <c r="O89" s="7" t="s">
        <v>70</v>
      </c>
      <c r="Q89" s="1" t="n">
        <v>0</v>
      </c>
      <c r="R89" s="1" t="n">
        <v>0</v>
      </c>
      <c r="S89" s="1" t="n">
        <v>1</v>
      </c>
      <c r="T89" s="1" t="n">
        <v>0</v>
      </c>
      <c r="U89" s="1" t="n">
        <v>0</v>
      </c>
    </row>
    <row r="90" customFormat="false" ht="15.75" hidden="false" customHeight="false" outlineLevel="0" collapsed="false">
      <c r="A90" s="11" t="e">
        <f aca="true">INDIRECT("'Ответы на форму (1)'!A"&amp;$L90,TRUE())</f>
        <v>#REF!</v>
      </c>
      <c r="B90" s="0" t="e">
        <f aca="true">INDIRECT("'Ответы на форму (1)'!B"&amp;$L90,TRUE())</f>
        <v>#REF!</v>
      </c>
      <c r="C90" s="0" t="e">
        <f aca="true">INDIRECT("'Ответы на форму (1)'!C"&amp;$L90,TRUE())</f>
        <v>#REF!</v>
      </c>
      <c r="D90" s="0" t="e">
        <f aca="true">INDIRECT("'Ответы на форму (1)'!D"&amp;$L90,TRUE())</f>
        <v>#REF!</v>
      </c>
      <c r="E90" s="0" t="n">
        <f aca="false">IFERROR(__xludf.dummyfunction("iferror(VALUE(REGEXEXTRACT(TEXT(INDIRECT(""'Ответы на форму (1)'!E""&amp;$L90,TRUE),""####""),""[0-9]+"")),INDIRECT(""'Ответы на форму (1)'!E""&amp;$L90,TRUE))"),123)</f>
        <v>123</v>
      </c>
      <c r="F90" s="0" t="e">
        <f aca="true">INDIRECT("'Ответы на форму (1)'!F"&amp;$L90,TRUE())</f>
        <v>#REF!</v>
      </c>
      <c r="G90" s="12" t="e">
        <f aca="true">IFERROR(MID(INDIRECT("'Ответы на форму (1)'!G"&amp;$L90,TRUE()),SEARCH("vk.com",INDIRECT("'Ответы на форму (1)'!G"&amp;$L90,TRUE())),LEN(INDIRECT("'Ответы на форму (1)'!G"&amp;$L90,TRUE()))),INDIRECT("'Ответы на форму (1)'!G"&amp;$L90,TRUE()))</f>
        <v>#REF!</v>
      </c>
      <c r="H90" s="0" t="e">
        <f aca="true">INDIRECT("'Ответы на форму (1)'!H"&amp;$L90,TRUE())</f>
        <v>#REF!</v>
      </c>
      <c r="I90" s="0" t="e">
        <f aca="true">INDIRECT("'Ответы на форму (1)'!I"&amp;$L90,TRUE())</f>
        <v>#REF!</v>
      </c>
      <c r="J90" s="0" t="e">
        <f aca="true">INDIRECT("'Ответы на форму (1)'!J"&amp;$L90,TRUE())</f>
        <v>#REF!</v>
      </c>
      <c r="K90" s="0" t="e">
        <f aca="false" t="array" ref="K90:K90">IF(COUNTIF(concat(TRIM('Список прошлого года'!$B$2:$B$200),TRIM('Список прошлого года'!$C$2:$C$200)),concat(TRIM(B90),TRIM(C90))) &gt; 0,IF(concat(TRIM(B90),TRIM(C90)) = "","","Да"),"Нет")</f>
        <v>#NAME?</v>
      </c>
      <c r="L90" s="1" t="n">
        <v>105</v>
      </c>
      <c r="M90" s="1" t="n">
        <v>2</v>
      </c>
      <c r="O90" s="7" t="s">
        <v>70</v>
      </c>
      <c r="Q90" s="9" t="n">
        <v>0</v>
      </c>
      <c r="R90" s="10" t="n">
        <v>1</v>
      </c>
      <c r="S90" s="10" t="n">
        <v>1</v>
      </c>
      <c r="T90" s="10" t="n">
        <v>0</v>
      </c>
      <c r="U90" s="10" t="n">
        <v>0</v>
      </c>
    </row>
    <row r="91" customFormat="false" ht="15.75" hidden="false" customHeight="false" outlineLevel="0" collapsed="false">
      <c r="A91" s="6" t="e">
        <f aca="true">INDIRECT("'Ответы на форму (1)'!A"&amp;$L91,TRUE())</f>
        <v>#REF!</v>
      </c>
      <c r="B91" s="7" t="e">
        <f aca="true">INDIRECT("'Ответы на форму (1)'!B"&amp;$L91,TRUE())</f>
        <v>#REF!</v>
      </c>
      <c r="C91" s="7" t="e">
        <f aca="true">INDIRECT("'Ответы на форму (1)'!C"&amp;$L91,TRUE())</f>
        <v>#REF!</v>
      </c>
      <c r="D91" s="7" t="e">
        <f aca="true">INDIRECT("'Ответы на форму (1)'!D"&amp;$L91,TRUE())</f>
        <v>#REF!</v>
      </c>
      <c r="E91" s="7" t="n">
        <f aca="false">IFERROR(__xludf.dummyfunction("iferror(VALUE(REGEXEXTRACT(TEXT(INDIRECT(""'Ответы на форму (1)'!E""&amp;$L91,TRUE),""####""),""[0-9]+"")),INDIRECT(""'Ответы на форму (1)'!E""&amp;$L91,TRUE))"),84)</f>
        <v>84</v>
      </c>
      <c r="F91" s="7" t="e">
        <f aca="true">INDIRECT("'Ответы на форму (1)'!F"&amp;$L91,TRUE())</f>
        <v>#REF!</v>
      </c>
      <c r="G91" s="8" t="e">
        <f aca="true">IFERROR(MID(INDIRECT("'Ответы на форму (1)'!G"&amp;$L91,TRUE()),SEARCH("vk.com",INDIRECT("'Ответы на форму (1)'!G"&amp;$L91,TRUE())),LEN(INDIRECT("'Ответы на форму (1)'!G"&amp;$L91,TRUE()))),INDIRECT("'Ответы на форму (1)'!G"&amp;$L91,TRUE()))</f>
        <v>#REF!</v>
      </c>
      <c r="H91" s="7" t="e">
        <f aca="true">INDIRECT("'Ответы на форму (1)'!H"&amp;$L91,TRUE())</f>
        <v>#REF!</v>
      </c>
      <c r="I91" s="7" t="e">
        <f aca="true">INDIRECT("'Ответы на форму (1)'!I"&amp;$L91,TRUE())</f>
        <v>#REF!</v>
      </c>
      <c r="J91" s="7" t="e">
        <f aca="true">INDIRECT("'Ответы на форму (1)'!J"&amp;$L91,TRUE())</f>
        <v>#REF!</v>
      </c>
      <c r="K91" s="7" t="e">
        <f aca="false" t="array" ref="K91:K91">IF(COUNTIF(concat(TRIM('Список прошлого года'!$B$2:$B$200),TRIM('Список прошлого года'!$C$2:$C$200)),concat(TRIM(B91),TRIM(C91))) &gt; 0,IF(concat(TRIM(B91),TRIM(C91)) = "","","Да"),"Нет")</f>
        <v>#NAME?</v>
      </c>
      <c r="L91" s="5" t="n">
        <v>106</v>
      </c>
      <c r="M91" s="5" t="n">
        <v>2</v>
      </c>
      <c r="N91" s="7"/>
      <c r="O91" s="7" t="s">
        <v>70</v>
      </c>
      <c r="P91" s="7"/>
      <c r="Q91" s="9" t="n">
        <v>1</v>
      </c>
      <c r="R91" s="10" t="n">
        <v>1</v>
      </c>
      <c r="S91" s="13" t="n">
        <v>1</v>
      </c>
      <c r="T91" s="10" t="n">
        <v>1</v>
      </c>
      <c r="U91" s="10" t="n">
        <v>1</v>
      </c>
      <c r="V91" s="7"/>
      <c r="W91" s="7"/>
      <c r="X91" s="7"/>
      <c r="Y91" s="7"/>
      <c r="Z91" s="7"/>
    </row>
    <row r="92" customFormat="false" ht="15.75" hidden="false" customHeight="false" outlineLevel="0" collapsed="false">
      <c r="A92" s="11" t="e">
        <f aca="true">INDIRECT("'Ответы на форму (1)'!A"&amp;$L92,TRUE())</f>
        <v>#REF!</v>
      </c>
      <c r="B92" s="0" t="e">
        <f aca="true">INDIRECT("'Ответы на форму (1)'!B"&amp;$L92,TRUE())</f>
        <v>#REF!</v>
      </c>
      <c r="C92" s="0" t="e">
        <f aca="true">INDIRECT("'Ответы на форму (1)'!C"&amp;$L92,TRUE())</f>
        <v>#REF!</v>
      </c>
      <c r="D92" s="0" t="e">
        <f aca="true">INDIRECT("'Ответы на форму (1)'!D"&amp;$L92,TRUE())</f>
        <v>#REF!</v>
      </c>
      <c r="E92" s="0" t="n">
        <f aca="false">IFERROR(__xludf.dummyfunction("iferror(VALUE(REGEXEXTRACT(TEXT(INDIRECT(""'Ответы на форму (1)'!E""&amp;$L92,TRUE),""####""),""[0-9]+"")),INDIRECT(""'Ответы на форму (1)'!E""&amp;$L92,TRUE))"),117)</f>
        <v>117</v>
      </c>
      <c r="F92" s="0" t="e">
        <f aca="true">INDIRECT("'Ответы на форму (1)'!F"&amp;$L92,TRUE())</f>
        <v>#REF!</v>
      </c>
      <c r="G92" s="12" t="e">
        <f aca="true">IFERROR(MID(INDIRECT("'Ответы на форму (1)'!G"&amp;$L92,TRUE()),SEARCH("vk.com",INDIRECT("'Ответы на форму (1)'!G"&amp;$L92,TRUE())),LEN(INDIRECT("'Ответы на форму (1)'!G"&amp;$L92,TRUE()))),INDIRECT("'Ответы на форму (1)'!G"&amp;$L92,TRUE()))</f>
        <v>#REF!</v>
      </c>
      <c r="H92" s="0" t="e">
        <f aca="true">INDIRECT("'Ответы на форму (1)'!H"&amp;$L92,TRUE())</f>
        <v>#REF!</v>
      </c>
      <c r="I92" s="0" t="e">
        <f aca="true">INDIRECT("'Ответы на форму (1)'!I"&amp;$L92,TRUE())</f>
        <v>#REF!</v>
      </c>
      <c r="J92" s="0" t="e">
        <f aca="true">INDIRECT("'Ответы на форму (1)'!J"&amp;$L92,TRUE())</f>
        <v>#REF!</v>
      </c>
      <c r="K92" s="0" t="e">
        <f aca="false" t="array" ref="K92:K92">IF(COUNTIF(concat(TRIM('Список прошлого года'!$B$2:$B$200),TRIM('Список прошлого года'!$C$2:$C$200)),concat(TRIM(B92),TRIM(C92))) &gt; 0,IF(concat(TRIM(B92),TRIM(C92)) = "","","Да"),"Нет")</f>
        <v>#NAME?</v>
      </c>
      <c r="L92" s="1" t="n">
        <v>104</v>
      </c>
      <c r="M92" s="1" t="n">
        <v>2</v>
      </c>
      <c r="O92" s="0" t="s">
        <v>15</v>
      </c>
      <c r="Q92" s="9" t="n">
        <v>1</v>
      </c>
      <c r="R92" s="10" t="n">
        <v>1</v>
      </c>
      <c r="S92" s="10" t="n">
        <v>1</v>
      </c>
      <c r="T92" s="10" t="n">
        <v>0</v>
      </c>
      <c r="U92" s="10" t="n">
        <v>0</v>
      </c>
    </row>
    <row r="93" customFormat="false" ht="15.75" hidden="false" customHeight="false" outlineLevel="0" collapsed="false">
      <c r="A93" s="6" t="e">
        <f aca="true">INDIRECT("'Ответы на форму (1)'!A"&amp;$L93,TRUE())</f>
        <v>#REF!</v>
      </c>
      <c r="B93" s="7" t="e">
        <f aca="true">INDIRECT("'Ответы на форму (1)'!B"&amp;$L93,TRUE())</f>
        <v>#REF!</v>
      </c>
      <c r="C93" s="7" t="e">
        <f aca="true">INDIRECT("'Ответы на форму (1)'!C"&amp;$L93,TRUE())</f>
        <v>#REF!</v>
      </c>
      <c r="D93" s="7" t="e">
        <f aca="true">INDIRECT("'Ответы на форму (1)'!D"&amp;$L93,TRUE())</f>
        <v>#REF!</v>
      </c>
      <c r="E93" s="7" t="n">
        <f aca="false">IFERROR(__xludf.dummyfunction("iferror(VALUE(REGEXEXTRACT(TEXT(INDIRECT(""'Ответы на форму (1)'!E""&amp;$L93,TRUE),""####""),""[0-9]+"")),INDIRECT(""'Ответы на форму (1)'!E""&amp;$L93,TRUE))"),166)</f>
        <v>166</v>
      </c>
      <c r="F93" s="7" t="e">
        <f aca="true">INDIRECT("'Ответы на форму (1)'!F"&amp;$L93,TRUE())</f>
        <v>#REF!</v>
      </c>
      <c r="G93" s="8" t="e">
        <f aca="true">IFERROR(MID(INDIRECT("'Ответы на форму (1)'!G"&amp;$L93,TRUE()),SEARCH("vk.com",INDIRECT("'Ответы на форму (1)'!G"&amp;$L93,TRUE())),LEN(INDIRECT("'Ответы на форму (1)'!G"&amp;$L93,TRUE()))),INDIRECT("'Ответы на форму (1)'!G"&amp;$L93,TRUE()))</f>
        <v>#REF!</v>
      </c>
      <c r="H93" s="7" t="e">
        <f aca="true">INDIRECT("'Ответы на форму (1)'!H"&amp;$L93,TRUE())</f>
        <v>#REF!</v>
      </c>
      <c r="I93" s="7" t="e">
        <f aca="true">INDIRECT("'Ответы на форму (1)'!I"&amp;$L93,TRUE())</f>
        <v>#REF!</v>
      </c>
      <c r="J93" s="7" t="e">
        <f aca="true">INDIRECT("'Ответы на форму (1)'!J"&amp;$L93,TRUE())</f>
        <v>#REF!</v>
      </c>
      <c r="K93" s="7" t="e">
        <f aca="false" t="array" ref="K93:K93">IF(COUNTIF(concat(TRIM('Список прошлого года'!$B$2:$B$200),TRIM('Список прошлого года'!$C$2:$C$200)),concat(TRIM(B93),TRIM(C93))) &gt; 0,IF(concat(TRIM(B93),TRIM(C93)) = "","","Да"),"Нет")</f>
        <v>#NAME?</v>
      </c>
      <c r="L93" s="5" t="n">
        <v>107</v>
      </c>
      <c r="M93" s="5" t="n">
        <v>2</v>
      </c>
      <c r="N93" s="7"/>
      <c r="O93" s="7" t="s">
        <v>29</v>
      </c>
      <c r="P93" s="7"/>
      <c r="Q93" s="9" t="n">
        <v>1</v>
      </c>
      <c r="R93" s="10" t="n">
        <v>1</v>
      </c>
      <c r="S93" s="10" t="n">
        <v>1</v>
      </c>
      <c r="T93" s="10" t="n">
        <v>1</v>
      </c>
      <c r="U93" s="10" t="n">
        <v>1</v>
      </c>
      <c r="V93" s="7"/>
      <c r="W93" s="7"/>
      <c r="X93" s="7"/>
      <c r="Y93" s="7"/>
      <c r="Z93" s="7"/>
    </row>
    <row r="94" customFormat="false" ht="15.75" hidden="false" customHeight="false" outlineLevel="0" collapsed="false">
      <c r="A94" s="11" t="e">
        <f aca="true">INDIRECT("'Ответы на форму (1)'!A"&amp;$L94,TRUE())</f>
        <v>#REF!</v>
      </c>
      <c r="B94" s="0" t="e">
        <f aca="true">INDIRECT("'Ответы на форму (1)'!B"&amp;$L94,TRUE())</f>
        <v>#REF!</v>
      </c>
      <c r="C94" s="0" t="e">
        <f aca="true">INDIRECT("'Ответы на форму (1)'!C"&amp;$L94,TRUE())</f>
        <v>#REF!</v>
      </c>
      <c r="D94" s="0" t="e">
        <f aca="true">INDIRECT("'Ответы на форму (1)'!D"&amp;$L94,TRUE())</f>
        <v>#REF!</v>
      </c>
      <c r="E94" s="0" t="n">
        <f aca="false">IFERROR(__xludf.dummyfunction("iferror(VALUE(REGEXEXTRACT(TEXT(INDIRECT(""'Ответы на форму (1)'!E""&amp;$L94,TRUE),""####""),""[0-9]+"")),INDIRECT(""'Ответы на форму (1)'!E""&amp;$L94,TRUE))"),166)</f>
        <v>166</v>
      </c>
      <c r="F94" s="0" t="e">
        <f aca="true">INDIRECT("'Ответы на форму (1)'!F"&amp;$L94,TRUE())</f>
        <v>#REF!</v>
      </c>
      <c r="G94" s="12" t="e">
        <f aca="true">IFERROR(MID(INDIRECT("'Ответы на форму (1)'!G"&amp;$L94,TRUE()),SEARCH("vk.com",INDIRECT("'Ответы на форму (1)'!G"&amp;$L94,TRUE())),LEN(INDIRECT("'Ответы на форму (1)'!G"&amp;$L94,TRUE()))),INDIRECT("'Ответы на форму (1)'!G"&amp;$L94,TRUE()))</f>
        <v>#REF!</v>
      </c>
      <c r="H94" s="0" t="e">
        <f aca="true">INDIRECT("'Ответы на форму (1)'!H"&amp;$L94,TRUE())</f>
        <v>#REF!</v>
      </c>
      <c r="I94" s="0" t="e">
        <f aca="true">INDIRECT("'Ответы на форму (1)'!I"&amp;$L94,TRUE())</f>
        <v>#REF!</v>
      </c>
      <c r="J94" s="0" t="e">
        <f aca="true">INDIRECT("'Ответы на форму (1)'!J"&amp;$L94,TRUE())</f>
        <v>#REF!</v>
      </c>
      <c r="K94" s="0" t="e">
        <f aca="false" t="array" ref="K94:K94">IF(COUNTIF(concat(TRIM('Список прошлого года'!$B$2:$B$200),TRIM('Список прошлого года'!$C$2:$C$200)),concat(TRIM(B94),TRIM(C94))) &gt; 0,IF(concat(TRIM(B94),TRIM(C94)) = "","","Да"),"Нет")</f>
        <v>#NAME?</v>
      </c>
      <c r="L94" s="1" t="n">
        <v>108</v>
      </c>
      <c r="M94" s="1" t="n">
        <v>2</v>
      </c>
      <c r="O94" s="0" t="s">
        <v>29</v>
      </c>
      <c r="Q94" s="9" t="n">
        <v>1</v>
      </c>
      <c r="R94" s="10" t="n">
        <v>1</v>
      </c>
      <c r="S94" s="10" t="n">
        <v>0</v>
      </c>
      <c r="T94" s="10" t="n">
        <v>1</v>
      </c>
      <c r="U94" s="10" t="n">
        <v>1</v>
      </c>
    </row>
    <row r="95" customFormat="false" ht="15.75" hidden="false" customHeight="false" outlineLevel="0" collapsed="false">
      <c r="A95" s="6" t="e">
        <f aca="true">INDIRECT("'Ответы на форму (1)'!A"&amp;$L95,TRUE())</f>
        <v>#REF!</v>
      </c>
      <c r="B95" s="7" t="e">
        <f aca="true">INDIRECT("'Ответы на форму (1)'!B"&amp;$L95,TRUE())</f>
        <v>#REF!</v>
      </c>
      <c r="C95" s="7" t="e">
        <f aca="true">INDIRECT("'Ответы на форму (1)'!C"&amp;$L95,TRUE())</f>
        <v>#REF!</v>
      </c>
      <c r="D95" s="7" t="e">
        <f aca="true">INDIRECT("'Ответы на форму (1)'!D"&amp;$L95,TRUE())</f>
        <v>#REF!</v>
      </c>
      <c r="E95" s="7" t="n">
        <f aca="false">IFERROR(__xludf.dummyfunction("iferror(VALUE(REGEXEXTRACT(TEXT(INDIRECT(""'Ответы на форму (1)'!E""&amp;$L95,TRUE),""####""),""[0-9]+"")),INDIRECT(""'Ответы на форму (1)'!E""&amp;$L95,TRUE))"),66)</f>
        <v>66</v>
      </c>
      <c r="F95" s="7" t="e">
        <f aca="true">INDIRECT("'Ответы на форму (1)'!F"&amp;$L95,TRUE())</f>
        <v>#REF!</v>
      </c>
      <c r="G95" s="8" t="e">
        <f aca="true">IFERROR(MID(INDIRECT("'Ответы на форму (1)'!G"&amp;$L95,TRUE()),SEARCH("vk.com",INDIRECT("'Ответы на форму (1)'!G"&amp;$L95,TRUE())),LEN(INDIRECT("'Ответы на форму (1)'!G"&amp;$L95,TRUE()))),INDIRECT("'Ответы на форму (1)'!G"&amp;$L95,TRUE()))</f>
        <v>#REF!</v>
      </c>
      <c r="H95" s="7" t="e">
        <f aca="true">INDIRECT("'Ответы на форму (1)'!H"&amp;$L95,TRUE())</f>
        <v>#REF!</v>
      </c>
      <c r="I95" s="7" t="e">
        <f aca="true">INDIRECT("'Ответы на форму (1)'!I"&amp;$L95,TRUE())</f>
        <v>#REF!</v>
      </c>
      <c r="J95" s="7" t="e">
        <f aca="true">INDIRECT("'Ответы на форму (1)'!J"&amp;$L95,TRUE())</f>
        <v>#REF!</v>
      </c>
      <c r="K95" s="7" t="e">
        <f aca="false" t="array" ref="K95:K95">IF(COUNTIF(concat(TRIM('Список прошлого года'!$B$2:$B$200),TRIM('Список прошлого года'!$C$2:$C$200)),concat(TRIM(B95),TRIM(C95))) &gt; 0,IF(concat(TRIM(B95),TRIM(C95)) = "","","Да"),"Нет")</f>
        <v>#NAME?</v>
      </c>
      <c r="L95" s="5" t="n">
        <v>109</v>
      </c>
      <c r="M95" s="5" t="n">
        <v>2</v>
      </c>
      <c r="N95" s="7"/>
      <c r="O95" s="7" t="s">
        <v>80</v>
      </c>
      <c r="P95" s="7"/>
      <c r="Q95" s="9" t="n">
        <v>1</v>
      </c>
      <c r="R95" s="10" t="n">
        <v>1</v>
      </c>
      <c r="S95" s="10" t="n">
        <v>1</v>
      </c>
      <c r="T95" s="10" t="n">
        <v>1</v>
      </c>
      <c r="U95" s="10" t="n">
        <v>1</v>
      </c>
      <c r="V95" s="7"/>
      <c r="W95" s="7"/>
      <c r="X95" s="7"/>
      <c r="Y95" s="7"/>
      <c r="Z95" s="7"/>
    </row>
    <row r="96" customFormat="false" ht="15.75" hidden="false" customHeight="false" outlineLevel="0" collapsed="false">
      <c r="A96" s="6" t="e">
        <f aca="true">INDIRECT("'Ответы на форму (1)'!A"&amp;$L96,TRUE())</f>
        <v>#REF!</v>
      </c>
      <c r="B96" s="7" t="e">
        <f aca="true">INDIRECT("'Ответы на форму (1)'!B"&amp;$L96,TRUE())</f>
        <v>#REF!</v>
      </c>
      <c r="C96" s="7" t="e">
        <f aca="true">INDIRECT("'Ответы на форму (1)'!C"&amp;$L96,TRUE())</f>
        <v>#REF!</v>
      </c>
      <c r="D96" s="7" t="e">
        <f aca="true">INDIRECT("'Ответы на форму (1)'!D"&amp;$L96,TRUE())</f>
        <v>#REF!</v>
      </c>
      <c r="E96" s="7" t="n">
        <f aca="false">IFERROR(__xludf.dummyfunction("iferror(VALUE(REGEXEXTRACT(TEXT(INDIRECT(""'Ответы на форму (1)'!E""&amp;$L96,TRUE),""####""),""[0-9]+"")),INDIRECT(""'Ответы на форму (1)'!E""&amp;$L96,TRUE))"),92)</f>
        <v>92</v>
      </c>
      <c r="F96" s="7" t="e">
        <f aca="true">INDIRECT("'Ответы на форму (1)'!F"&amp;$L96,TRUE())</f>
        <v>#REF!</v>
      </c>
      <c r="G96" s="8" t="e">
        <f aca="true">IFERROR(MID(INDIRECT("'Ответы на форму (1)'!G"&amp;$L96,TRUE()),SEARCH("vk.com",INDIRECT("'Ответы на форму (1)'!G"&amp;$L96,TRUE())),LEN(INDIRECT("'Ответы на форму (1)'!G"&amp;$L96,TRUE()))),INDIRECT("'Ответы на форму (1)'!G"&amp;$L96,TRUE()))</f>
        <v>#REF!</v>
      </c>
      <c r="H96" s="7" t="e">
        <f aca="true">INDIRECT("'Ответы на форму (1)'!H"&amp;$L96,TRUE())</f>
        <v>#REF!</v>
      </c>
      <c r="I96" s="7" t="e">
        <f aca="true">INDIRECT("'Ответы на форму (1)'!I"&amp;$L96,TRUE())</f>
        <v>#REF!</v>
      </c>
      <c r="J96" s="7" t="e">
        <f aca="true">INDIRECT("'Ответы на форму (1)'!J"&amp;$L96,TRUE())</f>
        <v>#REF!</v>
      </c>
      <c r="K96" s="7" t="e">
        <f aca="false" t="array" ref="K96:K96">IF(COUNTIF(concat(TRIM('Список прошлого года'!$B$2:$B$200),TRIM('Список прошлого года'!$C$2:$C$200)),concat(TRIM(B96),TRIM(C96))) &gt; 0,IF(concat(TRIM(B96),TRIM(C96)) = "","","Да"),"Нет")</f>
        <v>#NAME?</v>
      </c>
      <c r="L96" s="5" t="n">
        <v>110</v>
      </c>
      <c r="M96" s="5" t="n">
        <v>2</v>
      </c>
      <c r="N96" s="7"/>
      <c r="O96" s="7" t="s">
        <v>80</v>
      </c>
      <c r="P96" s="7"/>
      <c r="Q96" s="9" t="n">
        <v>0</v>
      </c>
      <c r="R96" s="10" t="n">
        <v>0</v>
      </c>
      <c r="S96" s="10" t="n">
        <v>1</v>
      </c>
      <c r="T96" s="10" t="n">
        <v>1</v>
      </c>
      <c r="U96" s="10" t="n">
        <v>1</v>
      </c>
      <c r="V96" s="7"/>
      <c r="W96" s="7"/>
      <c r="X96" s="7"/>
      <c r="Y96" s="7"/>
      <c r="Z96" s="7"/>
    </row>
    <row r="97" customFormat="false" ht="15.75" hidden="false" customHeight="false" outlineLevel="0" collapsed="false">
      <c r="A97" s="11" t="e">
        <f aca="true">INDIRECT("'Ответы на форму (1)'!A"&amp;$L97,TRUE())</f>
        <v>#REF!</v>
      </c>
      <c r="B97" s="0" t="e">
        <f aca="true">INDIRECT("'Ответы на форму (1)'!B"&amp;$L97,TRUE())</f>
        <v>#REF!</v>
      </c>
      <c r="C97" s="0" t="e">
        <f aca="true">INDIRECT("'Ответы на форму (1)'!C"&amp;$L97,TRUE())</f>
        <v>#REF!</v>
      </c>
      <c r="D97" s="0" t="e">
        <f aca="true">INDIRECT("'Ответы на форму (1)'!D"&amp;$L97,TRUE())</f>
        <v>#REF!</v>
      </c>
      <c r="E97" s="0" t="n">
        <f aca="false">IFERROR(__xludf.dummyfunction("iferror(VALUE(REGEXEXTRACT(TEXT(INDIRECT(""'Ответы на форму (1)'!E""&amp;$L97,TRUE),""####""),""[0-9]+"")),INDIRECT(""'Ответы на форму (1)'!E""&amp;$L97,TRUE))"),117)</f>
        <v>117</v>
      </c>
      <c r="F97" s="0" t="e">
        <f aca="true">INDIRECT("'Ответы на форму (1)'!F"&amp;$L97,TRUE())</f>
        <v>#REF!</v>
      </c>
      <c r="G97" s="12" t="e">
        <f aca="true">IFERROR(MID(INDIRECT("'Ответы на форму (1)'!G"&amp;$L97,TRUE()),SEARCH("vk.com",INDIRECT("'Ответы на форму (1)'!G"&amp;$L97,TRUE())),LEN(INDIRECT("'Ответы на форму (1)'!G"&amp;$L97,TRUE()))),INDIRECT("'Ответы на форму (1)'!G"&amp;$L97,TRUE()))</f>
        <v>#REF!</v>
      </c>
      <c r="H97" s="0" t="e">
        <f aca="true">INDIRECT("'Ответы на форму (1)'!H"&amp;$L97,TRUE())</f>
        <v>#REF!</v>
      </c>
      <c r="I97" s="0" t="e">
        <f aca="true">INDIRECT("'Ответы на форму (1)'!I"&amp;$L97,TRUE())</f>
        <v>#REF!</v>
      </c>
      <c r="J97" s="0" t="e">
        <f aca="true">INDIRECT("'Ответы на форму (1)'!J"&amp;$L97,TRUE())</f>
        <v>#REF!</v>
      </c>
      <c r="K97" s="0" t="e">
        <f aca="false" t="array" ref="K97:K97">IF(COUNTIF(concat(TRIM('Список прошлого года'!$B$2:$B$200),TRIM('Список прошлого года'!$C$2:$C$200)),concat(TRIM(B97),TRIM(C97))) &gt; 0,IF(concat(TRIM(B97),TRIM(C97)) = "","","Да"),"Нет")</f>
        <v>#NAME?</v>
      </c>
      <c r="L97" s="1" t="n">
        <v>111</v>
      </c>
      <c r="M97" s="1" t="n">
        <v>2</v>
      </c>
      <c r="O97" s="0" t="s">
        <v>51</v>
      </c>
      <c r="Q97" s="9" t="n">
        <v>1</v>
      </c>
      <c r="R97" s="10" t="n">
        <v>1</v>
      </c>
      <c r="S97" s="10" t="n">
        <v>1</v>
      </c>
      <c r="T97" s="10" t="n">
        <v>1</v>
      </c>
      <c r="U97" s="10" t="n">
        <v>1</v>
      </c>
    </row>
    <row r="98" customFormat="false" ht="15.75" hidden="false" customHeight="false" outlineLevel="0" collapsed="false">
      <c r="A98" s="11" t="e">
        <f aca="true">INDIRECT("'Ответы на форму (1)'!A"&amp;$L98,TRUE())</f>
        <v>#REF!</v>
      </c>
      <c r="B98" s="0" t="e">
        <f aca="true">INDIRECT("'Ответы на форму (1)'!B"&amp;$L98,TRUE())</f>
        <v>#REF!</v>
      </c>
      <c r="C98" s="0" t="e">
        <f aca="true">INDIRECT("'Ответы на форму (1)'!C"&amp;$L98,TRUE())</f>
        <v>#REF!</v>
      </c>
      <c r="D98" s="0" t="e">
        <f aca="true">INDIRECT("'Ответы на форму (1)'!D"&amp;$L98,TRUE())</f>
        <v>#REF!</v>
      </c>
      <c r="E98" s="0" t="n">
        <f aca="false">IFERROR(__xludf.dummyfunction("iferror(VALUE(REGEXEXTRACT(TEXT(INDIRECT(""'Ответы на форму (1)'!E""&amp;$L98,TRUE),""####""),""[0-9]+"")),INDIRECT(""'Ответы на форму (1)'!E""&amp;$L98,TRUE))"),117)</f>
        <v>117</v>
      </c>
      <c r="F98" s="0" t="e">
        <f aca="true">INDIRECT("'Ответы на форму (1)'!F"&amp;$L98,TRUE())</f>
        <v>#REF!</v>
      </c>
      <c r="G98" s="12" t="e">
        <f aca="true">IFERROR(MID(INDIRECT("'Ответы на форму (1)'!G"&amp;$L98,TRUE()),SEARCH("vk.com",INDIRECT("'Ответы на форму (1)'!G"&amp;$L98,TRUE())),LEN(INDIRECT("'Ответы на форму (1)'!G"&amp;$L98,TRUE()))),INDIRECT("'Ответы на форму (1)'!G"&amp;$L98,TRUE()))</f>
        <v>#REF!</v>
      </c>
      <c r="H98" s="0" t="e">
        <f aca="true">INDIRECT("'Ответы на форму (1)'!H"&amp;$L98,TRUE())</f>
        <v>#REF!</v>
      </c>
      <c r="I98" s="0" t="e">
        <f aca="true">INDIRECT("'Ответы на форму (1)'!I"&amp;$L98,TRUE())</f>
        <v>#REF!</v>
      </c>
      <c r="J98" s="0" t="e">
        <f aca="true">INDIRECT("'Ответы на форму (1)'!J"&amp;$L98,TRUE())</f>
        <v>#REF!</v>
      </c>
      <c r="K98" s="0" t="e">
        <f aca="false" t="array" ref="K98:K98">IF(COUNTIF(concat(TRIM('Список прошлого года'!$B$2:$B$200),TRIM('Список прошлого года'!$C$2:$C$200)),concat(TRIM(B98),TRIM(C98))) &gt; 0,IF(concat(TRIM(B98),TRIM(C98)) = "","","Да"),"Нет")</f>
        <v>#NAME?</v>
      </c>
      <c r="L98" s="1" t="n">
        <v>112</v>
      </c>
      <c r="M98" s="1" t="n">
        <v>2</v>
      </c>
      <c r="O98" s="0" t="s">
        <v>29</v>
      </c>
      <c r="Q98" s="9" t="n">
        <v>0</v>
      </c>
      <c r="R98" s="10" t="n">
        <v>0</v>
      </c>
      <c r="S98" s="10" t="n">
        <v>0</v>
      </c>
      <c r="T98" s="10" t="n">
        <v>0</v>
      </c>
      <c r="U98" s="10" t="n">
        <v>0</v>
      </c>
    </row>
    <row r="99" customFormat="false" ht="15.75" hidden="false" customHeight="false" outlineLevel="0" collapsed="false">
      <c r="A99" s="6" t="e">
        <f aca="true">INDIRECT("'Ответы на форму (1)'!A"&amp;$L99,TRUE())</f>
        <v>#REF!</v>
      </c>
      <c r="B99" s="7" t="e">
        <f aca="true">INDIRECT("'Ответы на форму (1)'!B"&amp;$L99,TRUE())</f>
        <v>#REF!</v>
      </c>
      <c r="C99" s="7" t="e">
        <f aca="true">INDIRECT("'Ответы на форму (1)'!C"&amp;$L99,TRUE())</f>
        <v>#REF!</v>
      </c>
      <c r="D99" s="7" t="e">
        <f aca="true">INDIRECT("'Ответы на форму (1)'!D"&amp;$L99,TRUE())</f>
        <v>#REF!</v>
      </c>
      <c r="E99" s="7" t="n">
        <f aca="false">IFERROR(__xludf.dummyfunction("iferror(VALUE(REGEXEXTRACT(TEXT(INDIRECT(""'Ответы на форму (1)'!E""&amp;$L99,TRUE),""####""),""[0-9]+"")),INDIRECT(""'Ответы на форму (1)'!E""&amp;$L99,TRUE))"),117)</f>
        <v>117</v>
      </c>
      <c r="F99" s="7" t="e">
        <f aca="true">INDIRECT("'Ответы на форму (1)'!F"&amp;$L99,TRUE())</f>
        <v>#REF!</v>
      </c>
      <c r="G99" s="8" t="e">
        <f aca="true">IFERROR(MID(INDIRECT("'Ответы на форму (1)'!G"&amp;$L99,TRUE()),SEARCH("vk.com",INDIRECT("'Ответы на форму (1)'!G"&amp;$L99,TRUE())),LEN(INDIRECT("'Ответы на форму (1)'!G"&amp;$L99,TRUE()))),INDIRECT("'Ответы на форму (1)'!G"&amp;$L99,TRUE()))</f>
        <v>#REF!</v>
      </c>
      <c r="H99" s="7" t="e">
        <f aca="true">INDIRECT("'Ответы на форму (1)'!H"&amp;$L99,TRUE())</f>
        <v>#REF!</v>
      </c>
      <c r="I99" s="7" t="e">
        <f aca="true">INDIRECT("'Ответы на форму (1)'!I"&amp;$L99,TRUE())</f>
        <v>#REF!</v>
      </c>
      <c r="J99" s="7" t="e">
        <f aca="true">INDIRECT("'Ответы на форму (1)'!J"&amp;$L99,TRUE())</f>
        <v>#REF!</v>
      </c>
      <c r="K99" s="7" t="e">
        <f aca="false" t="array" ref="K99:K99">IF(COUNTIF(concat(TRIM('Список прошлого года'!$B$2:$B$200),TRIM('Список прошлого года'!$C$2:$C$200)),concat(TRIM(B99),TRIM(C99))) &gt; 0,IF(concat(TRIM(B99),TRIM(C99)) = "","","Да"),"Нет")</f>
        <v>#NAME?</v>
      </c>
      <c r="L99" s="5" t="n">
        <v>113</v>
      </c>
      <c r="M99" s="5" t="n">
        <v>2</v>
      </c>
      <c r="N99" s="7"/>
      <c r="O99" s="7" t="s">
        <v>29</v>
      </c>
      <c r="P99" s="7"/>
      <c r="Q99" s="9" t="n">
        <v>1</v>
      </c>
      <c r="R99" s="10" t="n">
        <v>1</v>
      </c>
      <c r="S99" s="10" t="n">
        <v>1</v>
      </c>
      <c r="T99" s="10" t="n">
        <v>1</v>
      </c>
      <c r="U99" s="10" t="n">
        <v>0</v>
      </c>
      <c r="V99" s="7"/>
      <c r="W99" s="7"/>
      <c r="X99" s="7"/>
      <c r="Y99" s="7"/>
      <c r="Z99" s="7"/>
    </row>
    <row r="100" customFormat="false" ht="15.75" hidden="false" customHeight="false" outlineLevel="0" collapsed="false">
      <c r="A100" s="6" t="e">
        <f aca="true">INDIRECT("'Ответы на форму (1)'!A"&amp;$L100,TRUE())</f>
        <v>#REF!</v>
      </c>
      <c r="B100" s="7" t="e">
        <f aca="true">INDIRECT("'Ответы на форму (1)'!B"&amp;$L100,TRUE())</f>
        <v>#REF!</v>
      </c>
      <c r="C100" s="7" t="e">
        <f aca="true">INDIRECT("'Ответы на форму (1)'!C"&amp;$L100,TRUE())</f>
        <v>#REF!</v>
      </c>
      <c r="D100" s="7" t="e">
        <f aca="true">INDIRECT("'Ответы на форму (1)'!D"&amp;$L100,TRUE())</f>
        <v>#REF!</v>
      </c>
      <c r="E100" s="7" t="n">
        <f aca="false">IFERROR(__xludf.dummyfunction("iferror(VALUE(REGEXEXTRACT(TEXT(INDIRECT(""'Ответы на форму (1)'!E""&amp;$L100,TRUE),""####""),""[0-9]+"")),INDIRECT(""'Ответы на форму (1)'!E""&amp;$L100,TRUE))"),139)</f>
        <v>139</v>
      </c>
      <c r="F100" s="7" t="e">
        <f aca="true">INDIRECT("'Ответы на форму (1)'!F"&amp;$L100,TRUE())</f>
        <v>#REF!</v>
      </c>
      <c r="G100" s="7" t="e">
        <f aca="true">IFERROR(MID(INDIRECT("'Ответы на форму (1)'!G"&amp;$L100,TRUE()),SEARCH("vk.com",INDIRECT("'Ответы на форму (1)'!G"&amp;$L100,TRUE())),LEN(INDIRECT("'Ответы на форму (1)'!G"&amp;$L100,TRUE()))),INDIRECT("'Ответы на форму (1)'!G"&amp;$L100,TRUE()))</f>
        <v>#REF!</v>
      </c>
      <c r="H100" s="7" t="e">
        <f aca="true">INDIRECT("'Ответы на форму (1)'!H"&amp;$L100,TRUE())</f>
        <v>#REF!</v>
      </c>
      <c r="I100" s="7" t="e">
        <f aca="true">INDIRECT("'Ответы на форму (1)'!I"&amp;$L100,TRUE())</f>
        <v>#REF!</v>
      </c>
      <c r="J100" s="7" t="e">
        <f aca="true">INDIRECT("'Ответы на форму (1)'!J"&amp;$L100,TRUE())</f>
        <v>#REF!</v>
      </c>
      <c r="K100" s="7" t="e">
        <f aca="false" t="array" ref="K100:K100">IF(COUNTIF(concat(TRIM('Список прошлого года'!$B$2:$B$200),TRIM('Список прошлого года'!$C$2:$C$200)),concat(TRIM(B100),TRIM(C100))) &gt; 0,IF(concat(TRIM(B100),TRIM(C100)) = "","","Да"),"Нет")</f>
        <v>#NAME?</v>
      </c>
      <c r="L100" s="5" t="n">
        <v>114</v>
      </c>
      <c r="M100" s="5" t="n">
        <v>2</v>
      </c>
      <c r="N100" s="7"/>
      <c r="O100" s="7" t="s">
        <v>29</v>
      </c>
      <c r="P100" s="7"/>
      <c r="Q100" s="9" t="n">
        <v>1</v>
      </c>
      <c r="R100" s="10" t="n">
        <v>1</v>
      </c>
      <c r="S100" s="10" t="n">
        <v>1</v>
      </c>
      <c r="T100" s="10" t="n">
        <v>1</v>
      </c>
      <c r="U100" s="10" t="n">
        <v>1</v>
      </c>
      <c r="V100" s="7"/>
      <c r="W100" s="7"/>
      <c r="X100" s="7"/>
      <c r="Y100" s="7"/>
      <c r="Z100" s="7"/>
    </row>
    <row r="101" customFormat="false" ht="15.75" hidden="false" customHeight="false" outlineLevel="0" collapsed="false">
      <c r="A101" s="11" t="e">
        <f aca="true">INDIRECT("'Ответы на форму (1)'!A"&amp;$L101,TRUE())</f>
        <v>#REF!</v>
      </c>
      <c r="B101" s="0" t="e">
        <f aca="true">INDIRECT("'Ответы на форму (1)'!B"&amp;$L101,TRUE())</f>
        <v>#REF!</v>
      </c>
      <c r="C101" s="0" t="e">
        <f aca="true">INDIRECT("'Ответы на форму (1)'!C"&amp;$L101,TRUE())</f>
        <v>#REF!</v>
      </c>
      <c r="D101" s="0" t="e">
        <f aca="true">INDIRECT("'Ответы на форму (1)'!D"&amp;$L101,TRUE())</f>
        <v>#REF!</v>
      </c>
      <c r="E101" s="0" t="n">
        <f aca="false">IFERROR(__xludf.dummyfunction("iferror(VALUE(REGEXEXTRACT(TEXT(INDIRECT(""'Ответы на форму (1)'!E""&amp;$L101,TRUE),""####""),""[0-9]+"")),INDIRECT(""'Ответы на форму (1)'!E""&amp;$L101,TRUE))"),139)</f>
        <v>139</v>
      </c>
      <c r="F101" s="0" t="e">
        <f aca="true">INDIRECT("'Ответы на форму (1)'!F"&amp;$L101,TRUE())</f>
        <v>#REF!</v>
      </c>
      <c r="G101" s="12" t="e">
        <f aca="true">IFERROR(MID(INDIRECT("'Ответы на форму (1)'!G"&amp;$L101,TRUE()),SEARCH("vk.com",INDIRECT("'Ответы на форму (1)'!G"&amp;$L101,TRUE())),LEN(INDIRECT("'Ответы на форму (1)'!G"&amp;$L101,TRUE()))),INDIRECT("'Ответы на форму (1)'!G"&amp;$L101,TRUE()))</f>
        <v>#REF!</v>
      </c>
      <c r="H101" s="0" t="e">
        <f aca="true">INDIRECT("'Ответы на форму (1)'!H"&amp;$L101,TRUE())</f>
        <v>#REF!</v>
      </c>
      <c r="I101" s="0" t="e">
        <f aca="true">INDIRECT("'Ответы на форму (1)'!I"&amp;$L101,TRUE())</f>
        <v>#REF!</v>
      </c>
      <c r="J101" s="0" t="e">
        <f aca="true">INDIRECT("'Ответы на форму (1)'!J"&amp;$L101,TRUE())</f>
        <v>#REF!</v>
      </c>
      <c r="K101" s="0" t="e">
        <f aca="false" t="array" ref="K101:K101">IF(COUNTIF(concat(TRIM('Список прошлого года'!$B$2:$B$200),TRIM('Список прошлого года'!$C$2:$C$200)),concat(TRIM(B101),TRIM(C101))) &gt; 0,IF(concat(TRIM(B101),TRIM(C101)) = "","","Да"),"Нет")</f>
        <v>#NAME?</v>
      </c>
      <c r="L101" s="1" t="n">
        <v>115</v>
      </c>
      <c r="M101" s="1" t="n">
        <v>2</v>
      </c>
      <c r="O101" s="0" t="s">
        <v>40</v>
      </c>
      <c r="Q101" s="1" t="n">
        <v>0</v>
      </c>
      <c r="R101" s="1" t="n">
        <v>0</v>
      </c>
      <c r="S101" s="1" t="n">
        <v>0</v>
      </c>
      <c r="T101" s="1" t="n">
        <v>0</v>
      </c>
    </row>
    <row r="102" customFormat="false" ht="15.75" hidden="false" customHeight="false" outlineLevel="0" collapsed="false">
      <c r="A102" s="6" t="e">
        <f aca="true">INDIRECT("'Ответы на форму (1)'!A"&amp;$L102,TRUE())</f>
        <v>#REF!</v>
      </c>
      <c r="B102" s="7" t="e">
        <f aca="true">INDIRECT("'Ответы на форму (1)'!B"&amp;$L102,TRUE())</f>
        <v>#REF!</v>
      </c>
      <c r="C102" s="7" t="e">
        <f aca="true">INDIRECT("'Ответы на форму (1)'!C"&amp;$L102,TRUE())</f>
        <v>#REF!</v>
      </c>
      <c r="D102" s="7" t="e">
        <f aca="true">INDIRECT("'Ответы на форму (1)'!D"&amp;$L102,TRUE())</f>
        <v>#REF!</v>
      </c>
      <c r="E102" s="7" t="n">
        <f aca="false">IFERROR(__xludf.dummyfunction("iferror(VALUE(REGEXEXTRACT(TEXT(INDIRECT(""'Ответы на форму (1)'!E""&amp;$L102,TRUE),""####""),""[0-9]+"")),INDIRECT(""'Ответы на форму (1)'!E""&amp;$L102,TRUE))"),139)</f>
        <v>139</v>
      </c>
      <c r="F102" s="7" t="e">
        <f aca="true">INDIRECT("'Ответы на форму (1)'!F"&amp;$L102,TRUE())</f>
        <v>#REF!</v>
      </c>
      <c r="G102" s="8" t="e">
        <f aca="true">IFERROR(MID(INDIRECT("'Ответы на форму (1)'!G"&amp;$L102,TRUE()),SEARCH("vk.com",INDIRECT("'Ответы на форму (1)'!G"&amp;$L102,TRUE())),LEN(INDIRECT("'Ответы на форму (1)'!G"&amp;$L102,TRUE()))),INDIRECT("'Ответы на форму (1)'!G"&amp;$L102,TRUE()))</f>
        <v>#REF!</v>
      </c>
      <c r="H102" s="7" t="e">
        <f aca="true">INDIRECT("'Ответы на форму (1)'!H"&amp;$L102,TRUE())</f>
        <v>#REF!</v>
      </c>
      <c r="I102" s="7" t="e">
        <f aca="true">INDIRECT("'Ответы на форму (1)'!I"&amp;$L102,TRUE())</f>
        <v>#REF!</v>
      </c>
      <c r="J102" s="7" t="e">
        <f aca="true">INDIRECT("'Ответы на форму (1)'!J"&amp;$L102,TRUE())</f>
        <v>#REF!</v>
      </c>
      <c r="K102" s="7" t="e">
        <f aca="false" t="array" ref="K102:K102">IF(COUNTIF(concat(TRIM('Список прошлого года'!$B$2:$B$200),TRIM('Список прошлого года'!$C$2:$C$200)),concat(TRIM(B102),TRIM(C102))) &gt; 0,IF(concat(TRIM(B102),TRIM(C102)) = "","","Да"),"Нет")</f>
        <v>#NAME?</v>
      </c>
      <c r="L102" s="5" t="n">
        <v>116</v>
      </c>
      <c r="M102" s="5" t="n">
        <v>2</v>
      </c>
      <c r="N102" s="7"/>
      <c r="O102" s="7" t="s">
        <v>70</v>
      </c>
      <c r="P102" s="7"/>
      <c r="Q102" s="9" t="n">
        <v>1</v>
      </c>
      <c r="R102" s="10" t="n">
        <v>1</v>
      </c>
      <c r="S102" s="13" t="n">
        <v>1</v>
      </c>
      <c r="T102" s="10" t="n">
        <v>1</v>
      </c>
      <c r="U102" s="10" t="n">
        <v>1</v>
      </c>
      <c r="V102" s="7"/>
      <c r="W102" s="7"/>
      <c r="X102" s="7"/>
      <c r="Y102" s="7"/>
      <c r="Z102" s="7"/>
    </row>
    <row r="103" customFormat="false" ht="15.75" hidden="false" customHeight="false" outlineLevel="0" collapsed="false">
      <c r="A103" s="6" t="e">
        <f aca="true">INDIRECT("'Ответы на форму (1)'!A"&amp;$L103,TRUE())</f>
        <v>#REF!</v>
      </c>
      <c r="B103" s="7" t="e">
        <f aca="true">INDIRECT("'Ответы на форму (1)'!B"&amp;$L103,TRUE())</f>
        <v>#REF!</v>
      </c>
      <c r="C103" s="7" t="e">
        <f aca="true">INDIRECT("'Ответы на форму (1)'!C"&amp;$L103,TRUE())</f>
        <v>#REF!</v>
      </c>
      <c r="D103" s="7" t="e">
        <f aca="true">INDIRECT("'Ответы на форму (1)'!D"&amp;$L103,TRUE())</f>
        <v>#REF!</v>
      </c>
      <c r="E103" s="7" t="n">
        <f aca="false">IFERROR(__xludf.dummyfunction("iferror(VALUE(REGEXEXTRACT(TEXT(INDIRECT(""'Ответы на форму (1)'!E""&amp;$L103,TRUE),""####""),""[0-9]+"")),INDIRECT(""'Ответы на форму (1)'!E""&amp;$L103,TRUE))"),139)</f>
        <v>139</v>
      </c>
      <c r="F103" s="7" t="e">
        <f aca="true">INDIRECT("'Ответы на форму (1)'!F"&amp;$L103,TRUE())</f>
        <v>#REF!</v>
      </c>
      <c r="G103" s="8" t="e">
        <f aca="true">IFERROR(MID(INDIRECT("'Ответы на форму (1)'!G"&amp;$L103,TRUE()),SEARCH("vk.com",INDIRECT("'Ответы на форму (1)'!G"&amp;$L103,TRUE())),LEN(INDIRECT("'Ответы на форму (1)'!G"&amp;$L103,TRUE()))),INDIRECT("'Ответы на форму (1)'!G"&amp;$L103,TRUE()))</f>
        <v>#REF!</v>
      </c>
      <c r="H103" s="7" t="e">
        <f aca="true">INDIRECT("'Ответы на форму (1)'!H"&amp;$L103,TRUE())</f>
        <v>#REF!</v>
      </c>
      <c r="I103" s="7" t="e">
        <f aca="true">INDIRECT("'Ответы на форму (1)'!I"&amp;$L103,TRUE())</f>
        <v>#REF!</v>
      </c>
      <c r="J103" s="7" t="e">
        <f aca="true">INDIRECT("'Ответы на форму (1)'!J"&amp;$L103,TRUE())</f>
        <v>#REF!</v>
      </c>
      <c r="K103" s="7" t="e">
        <f aca="false" t="array" ref="K103:K103">IF(COUNTIF(concat(TRIM('Список прошлого года'!$B$2:$B$200),TRIM('Список прошлого года'!$C$2:$C$200)),concat(TRIM(B103),TRIM(C103))) &gt; 0,IF(concat(TRIM(B103),TRIM(C103)) = "","","Да"),"Нет")</f>
        <v>#NAME?</v>
      </c>
      <c r="L103" s="5" t="n">
        <v>117</v>
      </c>
      <c r="M103" s="5" t="n">
        <v>2</v>
      </c>
      <c r="N103" s="7"/>
      <c r="O103" s="7" t="s">
        <v>50</v>
      </c>
      <c r="P103" s="7"/>
      <c r="Q103" s="9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7"/>
      <c r="W103" s="7"/>
      <c r="X103" s="7"/>
      <c r="Y103" s="7"/>
      <c r="Z103" s="7"/>
    </row>
    <row r="104" customFormat="false" ht="15.75" hidden="false" customHeight="false" outlineLevel="0" collapsed="false">
      <c r="A104" s="11" t="e">
        <f aca="true">INDIRECT("'Ответы на форму (1)'!A"&amp;$L104,TRUE())</f>
        <v>#REF!</v>
      </c>
      <c r="B104" s="0" t="e">
        <f aca="true">INDIRECT("'Ответы на форму (1)'!B"&amp;$L104,TRUE())</f>
        <v>#REF!</v>
      </c>
      <c r="C104" s="0" t="e">
        <f aca="true">INDIRECT("'Ответы на форму (1)'!C"&amp;$L104,TRUE())</f>
        <v>#REF!</v>
      </c>
      <c r="D104" s="0" t="e">
        <f aca="true">INDIRECT("'Ответы на форму (1)'!D"&amp;$L104,TRUE())</f>
        <v>#REF!</v>
      </c>
      <c r="E104" s="0" t="n">
        <f aca="false">IFERROR(__xludf.dummyfunction("iferror(VALUE(REGEXEXTRACT(TEXT(INDIRECT(""'Ответы на форму (1)'!E""&amp;$L104,TRUE),""####""),""[0-9]+"")),INDIRECT(""'Ответы на форму (1)'!E""&amp;$L104,TRUE))"),64)</f>
        <v>64</v>
      </c>
      <c r="F104" s="0" t="e">
        <f aca="true">INDIRECT("'Ответы на форму (1)'!F"&amp;$L104,TRUE())</f>
        <v>#REF!</v>
      </c>
      <c r="G104" s="12" t="e">
        <f aca="true">IFERROR(MID(INDIRECT("'Ответы на форму (1)'!G"&amp;$L104,TRUE()),SEARCH("vk.com",INDIRECT("'Ответы на форму (1)'!G"&amp;$L104,TRUE())),LEN(INDIRECT("'Ответы на форму (1)'!G"&amp;$L104,TRUE()))),INDIRECT("'Ответы на форму (1)'!G"&amp;$L104,TRUE()))</f>
        <v>#REF!</v>
      </c>
      <c r="H104" s="0" t="e">
        <f aca="true">INDIRECT("'Ответы на форму (1)'!H"&amp;$L104,TRUE())</f>
        <v>#REF!</v>
      </c>
      <c r="I104" s="0" t="e">
        <f aca="true">INDIRECT("'Ответы на форму (1)'!I"&amp;$L104,TRUE())</f>
        <v>#REF!</v>
      </c>
      <c r="J104" s="0" t="e">
        <f aca="true">INDIRECT("'Ответы на форму (1)'!J"&amp;$L104,TRUE())</f>
        <v>#REF!</v>
      </c>
      <c r="K104" s="0" t="e">
        <f aca="false" t="array" ref="K104:K104">IF(COUNTIF(concat(TRIM('Список прошлого года'!$B$2:$B$200),TRIM('Список прошлого года'!$C$2:$C$200)),concat(TRIM(B104),TRIM(C104))) &gt; 0,IF(concat(TRIM(B104),TRIM(C104)) = "","","Да"),"Нет")</f>
        <v>#NAME?</v>
      </c>
      <c r="L104" s="1" t="n">
        <v>118</v>
      </c>
      <c r="M104" s="1" t="n">
        <v>-1</v>
      </c>
      <c r="N104" s="1" t="s">
        <v>688</v>
      </c>
    </row>
    <row r="105" customFormat="false" ht="15.75" hidden="false" customHeight="false" outlineLevel="0" collapsed="false">
      <c r="A105" s="11" t="e">
        <f aca="true">INDIRECT("'Ответы на форму (1)'!A"&amp;$L105,TRUE())</f>
        <v>#REF!</v>
      </c>
      <c r="B105" s="0" t="e">
        <f aca="true">INDIRECT("'Ответы на форму (1)'!B"&amp;$L105,TRUE())</f>
        <v>#REF!</v>
      </c>
      <c r="C105" s="0" t="e">
        <f aca="true">INDIRECT("'Ответы на форму (1)'!C"&amp;$L105,TRUE())</f>
        <v>#REF!</v>
      </c>
      <c r="D105" s="0" t="e">
        <f aca="true">INDIRECT("'Ответы на форму (1)'!D"&amp;$L105,TRUE())</f>
        <v>#REF!</v>
      </c>
      <c r="E105" s="0" t="n">
        <f aca="false">IFERROR(__xludf.dummyfunction("iferror(VALUE(REGEXEXTRACT(TEXT(INDIRECT(""'Ответы на форму (1)'!E""&amp;$L105,TRUE),""####""),""[0-9]+"")),INDIRECT(""'Ответы на форму (1)'!E""&amp;$L105,TRUE))"),139)</f>
        <v>139</v>
      </c>
      <c r="F105" s="0" t="e">
        <f aca="true">INDIRECT("'Ответы на форму (1)'!F"&amp;$L105,TRUE())</f>
        <v>#REF!</v>
      </c>
      <c r="G105" s="12" t="e">
        <f aca="true">IFERROR(MID(INDIRECT("'Ответы на форму (1)'!G"&amp;$L105,TRUE()),SEARCH("vk.com",INDIRECT("'Ответы на форму (1)'!G"&amp;$L105,TRUE())),LEN(INDIRECT("'Ответы на форму (1)'!G"&amp;$L105,TRUE()))),INDIRECT("'Ответы на форму (1)'!G"&amp;$L105,TRUE()))</f>
        <v>#REF!</v>
      </c>
      <c r="H105" s="0" t="e">
        <f aca="true">INDIRECT("'Ответы на форму (1)'!H"&amp;$L105,TRUE())</f>
        <v>#REF!</v>
      </c>
      <c r="I105" s="0" t="e">
        <f aca="true">INDIRECT("'Ответы на форму (1)'!I"&amp;$L105,TRUE())</f>
        <v>#REF!</v>
      </c>
      <c r="J105" s="0" t="e">
        <f aca="true">INDIRECT("'Ответы на форму (1)'!J"&amp;$L105,TRUE())</f>
        <v>#REF!</v>
      </c>
      <c r="K105" s="0" t="e">
        <f aca="false" t="array" ref="K105:K105">IF(COUNTIF(concat(TRIM('Список прошлого года'!$B$2:$B$200),TRIM('Список прошлого года'!$C$2:$C$200)),concat(TRIM(B105),TRIM(C105))) &gt; 0,IF(concat(TRIM(B105),TRIM(C105)) = "","","Да"),"Нет")</f>
        <v>#NAME?</v>
      </c>
      <c r="L105" s="1" t="n">
        <v>119</v>
      </c>
      <c r="M105" s="1" t="n">
        <v>2</v>
      </c>
      <c r="O105" s="0" t="s">
        <v>15</v>
      </c>
    </row>
    <row r="106" customFormat="false" ht="15.75" hidden="false" customHeight="false" outlineLevel="0" collapsed="false">
      <c r="A106" s="11" t="e">
        <f aca="true">INDIRECT("'Ответы на форму (1)'!A"&amp;$L106,TRUE())</f>
        <v>#REF!</v>
      </c>
      <c r="B106" s="0" t="e">
        <f aca="true">INDIRECT("'Ответы на форму (1)'!B"&amp;$L106,TRUE())</f>
        <v>#REF!</v>
      </c>
      <c r="C106" s="0" t="e">
        <f aca="true">INDIRECT("'Ответы на форму (1)'!C"&amp;$L106,TRUE())</f>
        <v>#REF!</v>
      </c>
      <c r="D106" s="0" t="e">
        <f aca="true">INDIRECT("'Ответы на форму (1)'!D"&amp;$L106,TRUE())</f>
        <v>#REF!</v>
      </c>
      <c r="E106" s="0" t="n">
        <f aca="false">IFERROR(__xludf.dummyfunction("iferror(VALUE(REGEXEXTRACT(TEXT(INDIRECT(""'Ответы на форму (1)'!E""&amp;$L106,TRUE),""####""),""[0-9]+"")),INDIRECT(""'Ответы на форму (1)'!E""&amp;$L106,TRUE))"),149)</f>
        <v>149</v>
      </c>
      <c r="F106" s="0" t="e">
        <f aca="true">INDIRECT("'Ответы на форму (1)'!F"&amp;$L106,TRUE())</f>
        <v>#REF!</v>
      </c>
      <c r="G106" s="12" t="e">
        <f aca="true">IFERROR(MID(INDIRECT("'Ответы на форму (1)'!G"&amp;$L106,TRUE()),SEARCH("vk.com",INDIRECT("'Ответы на форму (1)'!G"&amp;$L106,TRUE())),LEN(INDIRECT("'Ответы на форму (1)'!G"&amp;$L106,TRUE()))),INDIRECT("'Ответы на форму (1)'!G"&amp;$L106,TRUE()))</f>
        <v>#REF!</v>
      </c>
      <c r="H106" s="0" t="e">
        <f aca="true">INDIRECT("'Ответы на форму (1)'!H"&amp;$L106,TRUE())</f>
        <v>#REF!</v>
      </c>
      <c r="I106" s="0" t="e">
        <f aca="true">INDIRECT("'Ответы на форму (1)'!I"&amp;$L106,TRUE())</f>
        <v>#REF!</v>
      </c>
      <c r="J106" s="0" t="e">
        <f aca="true">INDIRECT("'Ответы на форму (1)'!J"&amp;$L106,TRUE())</f>
        <v>#REF!</v>
      </c>
      <c r="K106" s="0" t="e">
        <f aca="false" t="array" ref="K106:K106">IF(COUNTIF(concat(TRIM('Список прошлого года'!$B$2:$B$200),TRIM('Список прошлого года'!$C$2:$C$200)),concat(TRIM(B106),TRIM(C106))) &gt; 0,IF(concat(TRIM(B106),TRIM(C106)) = "","","Да"),"Нет")</f>
        <v>#NAME?</v>
      </c>
      <c r="L106" s="1" t="n">
        <v>122</v>
      </c>
      <c r="M106" s="1" t="n">
        <v>2</v>
      </c>
      <c r="O106" s="0" t="s">
        <v>70</v>
      </c>
    </row>
    <row r="107" customFormat="false" ht="15.75" hidden="false" customHeight="false" outlineLevel="0" collapsed="false">
      <c r="A107" s="11" t="e">
        <f aca="true">INDIRECT("'Ответы на форму (1)'!A"&amp;$L107,TRUE())</f>
        <v>#REF!</v>
      </c>
      <c r="B107" s="0" t="e">
        <f aca="true">INDIRECT("'Ответы на форму (1)'!B"&amp;$L107,TRUE())</f>
        <v>#REF!</v>
      </c>
      <c r="C107" s="0" t="e">
        <f aca="true">INDIRECT("'Ответы на форму (1)'!C"&amp;$L107,TRUE())</f>
        <v>#REF!</v>
      </c>
      <c r="D107" s="0" t="e">
        <f aca="true">INDIRECT("'Ответы на форму (1)'!D"&amp;$L107,TRUE())</f>
        <v>#REF!</v>
      </c>
      <c r="E107" s="0" t="n">
        <f aca="false">IFERROR(__xludf.dummyfunction("iferror(VALUE(REGEXEXTRACT(TEXT(INDIRECT(""'Ответы на форму (1)'!E""&amp;$L107,TRUE),""####""),""[0-9]+"")),INDIRECT(""'Ответы на форму (1)'!E""&amp;$L107,TRUE))"),117)</f>
        <v>117</v>
      </c>
      <c r="F107" s="0" t="e">
        <f aca="true">INDIRECT("'Ответы на форму (1)'!F"&amp;$L107,TRUE())</f>
        <v>#REF!</v>
      </c>
      <c r="G107" s="12" t="e">
        <f aca="true">IFERROR(MID(INDIRECT("'Ответы на форму (1)'!G"&amp;$L107,TRUE()),SEARCH("vk.com",INDIRECT("'Ответы на форму (1)'!G"&amp;$L107,TRUE())),LEN(INDIRECT("'Ответы на форму (1)'!G"&amp;$L107,TRUE()))),INDIRECT("'Ответы на форму (1)'!G"&amp;$L107,TRUE()))</f>
        <v>#REF!</v>
      </c>
      <c r="H107" s="0" t="e">
        <f aca="true">INDIRECT("'Ответы на форму (1)'!H"&amp;$L107,TRUE())</f>
        <v>#REF!</v>
      </c>
      <c r="I107" s="0" t="e">
        <f aca="true">INDIRECT("'Ответы на форму (1)'!I"&amp;$L107,TRUE())</f>
        <v>#REF!</v>
      </c>
      <c r="J107" s="0" t="e">
        <f aca="true">INDIRECT("'Ответы на форму (1)'!J"&amp;$L107,TRUE())</f>
        <v>#REF!</v>
      </c>
      <c r="K107" s="0" t="e">
        <f aca="false" t="array" ref="K107:K107">IF(COUNTIF(concat(TRIM('Список прошлого года'!$B$2:$B$200),TRIM('Список прошлого года'!$C$2:$C$200)),concat(TRIM(B107),TRIM(C107))) &gt; 0,IF(concat(TRIM(B107),TRIM(C107)) = "","","Да"),"Нет")</f>
        <v>#NAME?</v>
      </c>
      <c r="L107" s="1" t="n">
        <v>124</v>
      </c>
      <c r="M107" s="1" t="n">
        <v>2</v>
      </c>
      <c r="O107" s="0" t="s">
        <v>148</v>
      </c>
    </row>
    <row r="108" customFormat="false" ht="15.75" hidden="false" customHeight="false" outlineLevel="0" collapsed="false">
      <c r="A108" s="11" t="e">
        <f aca="true">INDIRECT("'Ответы на форму (1)'!A"&amp;$L108,TRUE())</f>
        <v>#REF!</v>
      </c>
      <c r="B108" s="0" t="e">
        <f aca="true">INDIRECT("'Ответы на форму (1)'!B"&amp;$L108,TRUE())</f>
        <v>#REF!</v>
      </c>
      <c r="C108" s="0" t="e">
        <f aca="true">INDIRECT("'Ответы на форму (1)'!C"&amp;$L108,TRUE())</f>
        <v>#REF!</v>
      </c>
      <c r="D108" s="0" t="e">
        <f aca="true">INDIRECT("'Ответы на форму (1)'!D"&amp;$L108,TRUE())</f>
        <v>#REF!</v>
      </c>
      <c r="E108" s="0" t="n">
        <f aca="false">IFERROR(__xludf.dummyfunction("iferror(VALUE(REGEXEXTRACT(TEXT(INDIRECT(""'Ответы на форму (1)'!E""&amp;$L108,TRUE),""####""),""[0-9]+"")),INDIRECT(""'Ответы на форму (1)'!E""&amp;$L108,TRUE))"),117)</f>
        <v>117</v>
      </c>
      <c r="F108" s="0" t="e">
        <f aca="true">INDIRECT("'Ответы на форму (1)'!F"&amp;$L108,TRUE())</f>
        <v>#REF!</v>
      </c>
      <c r="G108" s="12" t="e">
        <f aca="true">IFERROR(MID(INDIRECT("'Ответы на форму (1)'!G"&amp;$L108,TRUE()),SEARCH("vk.com",INDIRECT("'Ответы на форму (1)'!G"&amp;$L108,TRUE())),LEN(INDIRECT("'Ответы на форму (1)'!G"&amp;$L108,TRUE()))),INDIRECT("'Ответы на форму (1)'!G"&amp;$L108,TRUE()))</f>
        <v>#REF!</v>
      </c>
      <c r="H108" s="0" t="e">
        <f aca="true">INDIRECT("'Ответы на форму (1)'!H"&amp;$L108,TRUE())</f>
        <v>#REF!</v>
      </c>
      <c r="I108" s="0" t="e">
        <f aca="true">INDIRECT("'Ответы на форму (1)'!I"&amp;$L108,TRUE())</f>
        <v>#REF!</v>
      </c>
      <c r="J108" s="0" t="e">
        <f aca="true">INDIRECT("'Ответы на форму (1)'!J"&amp;$L108,TRUE())</f>
        <v>#REF!</v>
      </c>
      <c r="K108" s="0" t="e">
        <f aca="false" t="array" ref="K108:K108">IF(COUNTIF(concat(TRIM('Список прошлого года'!$B$2:$B$200),TRIM('Список прошлого года'!$C$2:$C$200)),concat(TRIM(B108),TRIM(C108))) &gt; 0,IF(concat(TRIM(B108),TRIM(C108)) = "","","Да"),"Нет")</f>
        <v>#NAME?</v>
      </c>
      <c r="L108" s="1" t="n">
        <v>125</v>
      </c>
      <c r="M108" s="1" t="n">
        <v>2</v>
      </c>
      <c r="O108" s="0" t="s">
        <v>70</v>
      </c>
    </row>
    <row r="109" customFormat="false" ht="15.75" hidden="false" customHeight="false" outlineLevel="0" collapsed="false">
      <c r="A109" s="11" t="e">
        <f aca="true">INDIRECT("'Ответы на форму (1)'!A"&amp;$L109,TRUE())</f>
        <v>#REF!</v>
      </c>
      <c r="B109" s="0" t="e">
        <f aca="true">INDIRECT("'Ответы на форму (1)'!B"&amp;$L109,TRUE())</f>
        <v>#REF!</v>
      </c>
      <c r="C109" s="0" t="e">
        <f aca="true">INDIRECT("'Ответы на форму (1)'!C"&amp;$L109,TRUE())</f>
        <v>#REF!</v>
      </c>
      <c r="D109" s="0" t="e">
        <f aca="true">INDIRECT("'Ответы на форму (1)'!D"&amp;$L109,TRUE())</f>
        <v>#REF!</v>
      </c>
      <c r="E109" s="0" t="n">
        <f aca="false">IFERROR(__xludf.dummyfunction("iferror(VALUE(REGEXEXTRACT(TEXT(INDIRECT(""'Ответы на форму (1)'!E""&amp;$L109,TRUE),""####""),""[0-9]+"")),INDIRECT(""'Ответы на форму (1)'!E""&amp;$L109,TRUE))"),166)</f>
        <v>166</v>
      </c>
      <c r="F109" s="0" t="e">
        <f aca="true">INDIRECT("'Ответы на форму (1)'!F"&amp;$L109,TRUE())</f>
        <v>#REF!</v>
      </c>
      <c r="G109" s="12" t="e">
        <f aca="true">IFERROR(MID(INDIRECT("'Ответы на форму (1)'!G"&amp;$L109,TRUE()),SEARCH("vk.com",INDIRECT("'Ответы на форму (1)'!G"&amp;$L109,TRUE())),LEN(INDIRECT("'Ответы на форму (1)'!G"&amp;$L109,TRUE()))),INDIRECT("'Ответы на форму (1)'!G"&amp;$L109,TRUE()))</f>
        <v>#REF!</v>
      </c>
      <c r="H109" s="0" t="e">
        <f aca="true">INDIRECT("'Ответы на форму (1)'!H"&amp;$L109,TRUE())</f>
        <v>#REF!</v>
      </c>
      <c r="I109" s="0" t="e">
        <f aca="true">INDIRECT("'Ответы на форму (1)'!I"&amp;$L109,TRUE())</f>
        <v>#REF!</v>
      </c>
      <c r="J109" s="0" t="e">
        <f aca="true">INDIRECT("'Ответы на форму (1)'!J"&amp;$L109,TRUE())</f>
        <v>#REF!</v>
      </c>
      <c r="K109" s="0" t="e">
        <f aca="false" t="array" ref="K109:K109">IF(COUNTIF(concat(TRIM('Список прошлого года'!$B$2:$B$200),TRIM('Список прошлого года'!$C$2:$C$200)),concat(TRIM(B109),TRIM(C109))) &gt; 0,"Да","Нет")</f>
        <v>#NAME?</v>
      </c>
      <c r="L109" s="1" t="n">
        <v>42</v>
      </c>
      <c r="M109" s="1" t="n">
        <v>2</v>
      </c>
      <c r="O109" s="0" t="s">
        <v>51</v>
      </c>
    </row>
    <row r="110" customFormat="false" ht="15.75" hidden="false" customHeight="false" outlineLevel="0" collapsed="false">
      <c r="A110" s="6" t="e">
        <f aca="true">INDIRECT("'Ответы на форму (1)'!A"&amp;$L110,TRUE())</f>
        <v>#REF!</v>
      </c>
      <c r="B110" s="7" t="e">
        <f aca="true">INDIRECT("'Ответы на форму (1)'!B"&amp;$L110,TRUE())</f>
        <v>#REF!</v>
      </c>
      <c r="C110" s="7" t="e">
        <f aca="true">INDIRECT("'Ответы на форму (1)'!C"&amp;$L110,TRUE())</f>
        <v>#REF!</v>
      </c>
      <c r="D110" s="7" t="e">
        <f aca="true">INDIRECT("'Ответы на форму (1)'!D"&amp;$L110,TRUE())</f>
        <v>#REF!</v>
      </c>
      <c r="E110" s="7" t="n">
        <f aca="false">IFERROR(__xludf.dummyfunction("iferror(VALUE(REGEXEXTRACT(TEXT(INDIRECT(""'Ответы на форму (1)'!E""&amp;$L110,TRUE),""####""),""[0-9]+"")),INDIRECT(""'Ответы на форму (1)'!E""&amp;$L110,TRUE))"),117)</f>
        <v>117</v>
      </c>
      <c r="F110" s="7" t="e">
        <f aca="true">INDIRECT("'Ответы на форму (1)'!F"&amp;$L110,TRUE())</f>
        <v>#REF!</v>
      </c>
      <c r="G110" s="8" t="e">
        <f aca="true">IFERROR(MID(INDIRECT("'Ответы на форму (1)'!G"&amp;$L110,TRUE()),SEARCH("vk.com",INDIRECT("'Ответы на форму (1)'!G"&amp;$L110,TRUE())),LEN(INDIRECT("'Ответы на форму (1)'!G"&amp;$L110,TRUE()))),INDIRECT("'Ответы на форму (1)'!G"&amp;$L110,TRUE()))</f>
        <v>#REF!</v>
      </c>
      <c r="H110" s="7" t="e">
        <f aca="true">INDIRECT("'Ответы на форму (1)'!H"&amp;$L110,TRUE())</f>
        <v>#REF!</v>
      </c>
      <c r="I110" s="7" t="e">
        <f aca="true">INDIRECT("'Ответы на форму (1)'!I"&amp;$L110,TRUE())</f>
        <v>#REF!</v>
      </c>
      <c r="J110" s="7" t="e">
        <f aca="true">INDIRECT("'Ответы на форму (1)'!J"&amp;$L110,TRUE())</f>
        <v>#REF!</v>
      </c>
      <c r="K110" s="7" t="e">
        <f aca="false" t="array" ref="K110:K110">IF(COUNTIF(concat(TRIM('Список прошлого года'!$B$2:$B$200),TRIM('Список прошлого года'!$C$2:$C$200)),concat(TRIM(B110),TRIM(C110))) &gt; 0,IF(concat(TRIM(B110),TRIM(C110)) = "","","Да"),"Нет")</f>
        <v>#NAME?</v>
      </c>
      <c r="L110" s="5" t="n">
        <v>126</v>
      </c>
      <c r="M110" s="5" t="n">
        <v>2</v>
      </c>
      <c r="N110" s="7"/>
      <c r="O110" s="7" t="s">
        <v>22</v>
      </c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5.75" hidden="false" customHeight="false" outlineLevel="0" collapsed="false">
      <c r="A111" s="11" t="e">
        <f aca="true">INDIRECT("'Ответы на форму (1)'!A"&amp;$L111,TRUE())</f>
        <v>#REF!</v>
      </c>
      <c r="B111" s="0" t="e">
        <f aca="true">INDIRECT("'Ответы на форму (1)'!B"&amp;$L111,TRUE())</f>
        <v>#REF!</v>
      </c>
      <c r="C111" s="0" t="e">
        <f aca="true">INDIRECT("'Ответы на форму (1)'!C"&amp;$L111,TRUE())</f>
        <v>#REF!</v>
      </c>
      <c r="D111" s="0" t="e">
        <f aca="true">INDIRECT("'Ответы на форму (1)'!D"&amp;$L111,TRUE())</f>
        <v>#REF!</v>
      </c>
      <c r="E111" s="0" t="n">
        <f aca="false">IFERROR(__xludf.dummyfunction("iferror(VALUE(REGEXEXTRACT(TEXT(INDIRECT(""'Ответы на форму (1)'!E""&amp;$L111,TRUE),""####""),""[0-9]+"")),INDIRECT(""'Ответы на форму (1)'!E""&amp;$L111,TRUE))"),117)</f>
        <v>117</v>
      </c>
      <c r="F111" s="0" t="e">
        <f aca="true">INDIRECT("'Ответы на форму (1)'!F"&amp;$L111,TRUE())</f>
        <v>#REF!</v>
      </c>
      <c r="G111" s="12" t="e">
        <f aca="true">IFERROR(MID(INDIRECT("'Ответы на форму (1)'!G"&amp;$L111,TRUE()),SEARCH("vk.com",INDIRECT("'Ответы на форму (1)'!G"&amp;$L111,TRUE())),LEN(INDIRECT("'Ответы на форму (1)'!G"&amp;$L111,TRUE()))),INDIRECT("'Ответы на форму (1)'!G"&amp;$L111,TRUE()))</f>
        <v>#REF!</v>
      </c>
      <c r="H111" s="0" t="e">
        <f aca="true">INDIRECT("'Ответы на форму (1)'!H"&amp;$L111,TRUE())</f>
        <v>#REF!</v>
      </c>
      <c r="I111" s="0" t="e">
        <f aca="true">INDIRECT("'Ответы на форму (1)'!I"&amp;$L111,TRUE())</f>
        <v>#REF!</v>
      </c>
      <c r="J111" s="0" t="e">
        <f aca="true">INDIRECT("'Ответы на форму (1)'!J"&amp;$L111,TRUE())</f>
        <v>#REF!</v>
      </c>
      <c r="K111" s="0" t="e">
        <f aca="false" t="array" ref="K111:K111">IF(COUNTIF(concat(TRIM('Список прошлого года'!$B$2:$B$200),TRIM('Список прошлого года'!$C$2:$C$200)),concat(TRIM(B111),TRIM(C111))) &gt; 0,IF(concat(TRIM(B111),TRIM(C111)) = "","","Да"),"Нет")</f>
        <v>#NAME?</v>
      </c>
      <c r="L111" s="1" t="n">
        <v>127</v>
      </c>
      <c r="M111" s="1" t="n">
        <v>2</v>
      </c>
      <c r="O111" s="0" t="s">
        <v>22</v>
      </c>
    </row>
    <row r="112" customFormat="false" ht="15.75" hidden="false" customHeight="false" outlineLevel="0" collapsed="false">
      <c r="A112" s="6" t="e">
        <f aca="true">INDIRECT("'Ответы на форму (1)'!A"&amp;$L112,TRUE())</f>
        <v>#REF!</v>
      </c>
      <c r="B112" s="7" t="e">
        <f aca="true">INDIRECT("'Ответы на форму (1)'!B"&amp;$L112,TRUE())</f>
        <v>#REF!</v>
      </c>
      <c r="C112" s="7" t="e">
        <f aca="true">INDIRECT("'Ответы на форму (1)'!C"&amp;$L112,TRUE())</f>
        <v>#REF!</v>
      </c>
      <c r="D112" s="7" t="e">
        <f aca="true">INDIRECT("'Ответы на форму (1)'!D"&amp;$L112,TRUE())</f>
        <v>#REF!</v>
      </c>
      <c r="E112" s="7" t="n">
        <f aca="false">IFERROR(__xludf.dummyfunction("iferror(VALUE(REGEXEXTRACT(TEXT(INDIRECT(""'Ответы на форму (1)'!E""&amp;$L112,TRUE),""####""),""[0-9]+"")),INDIRECT(""'Ответы на форму (1)'!E""&amp;$L112,TRUE))"),137)</f>
        <v>137</v>
      </c>
      <c r="F112" s="7" t="e">
        <f aca="true">INDIRECT("'Ответы на форму (1)'!F"&amp;$L112,TRUE())</f>
        <v>#REF!</v>
      </c>
      <c r="G112" s="8" t="e">
        <f aca="true">IFERROR(MID(INDIRECT("'Ответы на форму (1)'!G"&amp;$L112,TRUE()),SEARCH("vk.com",INDIRECT("'Ответы на форму (1)'!G"&amp;$L112,TRUE())),LEN(INDIRECT("'Ответы на форму (1)'!G"&amp;$L112,TRUE()))),INDIRECT("'Ответы на форму (1)'!G"&amp;$L112,TRUE()))</f>
        <v>#REF!</v>
      </c>
      <c r="H112" s="7" t="e">
        <f aca="true">INDIRECT("'Ответы на форму (1)'!H"&amp;$L112,TRUE())</f>
        <v>#REF!</v>
      </c>
      <c r="I112" s="7" t="e">
        <f aca="true">INDIRECT("'Ответы на форму (1)'!I"&amp;$L112,TRUE())</f>
        <v>#REF!</v>
      </c>
      <c r="J112" s="7" t="e">
        <f aca="true">INDIRECT("'Ответы на форму (1)'!J"&amp;$L112,TRUE())</f>
        <v>#REF!</v>
      </c>
      <c r="K112" s="7" t="e">
        <f aca="false" t="array" ref="K112:K112">IF(COUNTIF(concat(TRIM('Список прошлого года'!$B$2:$B$200),TRIM('Список прошлого года'!$C$2:$C$200)),concat(TRIM(B112),TRIM(C112))) &gt; 0,IF(concat(TRIM(B112),TRIM(C112)) = "","","Да"),"Нет")</f>
        <v>#NAME?</v>
      </c>
      <c r="L112" s="5" t="n">
        <v>128</v>
      </c>
      <c r="M112" s="5" t="n">
        <v>2</v>
      </c>
      <c r="N112" s="7"/>
      <c r="O112" s="7" t="s">
        <v>51</v>
      </c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5.75" hidden="false" customHeight="false" outlineLevel="0" collapsed="false">
      <c r="A113" s="6" t="e">
        <f aca="true">INDIRECT("'Ответы на форму (1)'!A"&amp;$L113,TRUE())</f>
        <v>#REF!</v>
      </c>
      <c r="B113" s="7" t="e">
        <f aca="true">INDIRECT("'Ответы на форму (1)'!B"&amp;$L113,TRUE())</f>
        <v>#REF!</v>
      </c>
      <c r="C113" s="7" t="e">
        <f aca="true">INDIRECT("'Ответы на форму (1)'!C"&amp;$L113,TRUE())</f>
        <v>#REF!</v>
      </c>
      <c r="D113" s="7" t="e">
        <f aca="true">INDIRECT("'Ответы на форму (1)'!D"&amp;$L113,TRUE())</f>
        <v>#REF!</v>
      </c>
      <c r="E113" s="7" t="n">
        <f aca="false">IFERROR(__xludf.dummyfunction("iferror(VALUE(REGEXEXTRACT(TEXT(INDIRECT(""'Ответы на форму (1)'!E""&amp;$L113,TRUE),""####""),""[0-9]+"")),INDIRECT(""'Ответы на форму (1)'!E""&amp;$L113,TRUE))"),117)</f>
        <v>117</v>
      </c>
      <c r="F113" s="7" t="e">
        <f aca="true">INDIRECT("'Ответы на форму (1)'!F"&amp;$L113,TRUE())</f>
        <v>#REF!</v>
      </c>
      <c r="G113" s="8" t="e">
        <f aca="true">IFERROR(MID(INDIRECT("'Ответы на форму (1)'!G"&amp;$L113,TRUE()),SEARCH("vk.com",INDIRECT("'Ответы на форму (1)'!G"&amp;$L113,TRUE())),LEN(INDIRECT("'Ответы на форму (1)'!G"&amp;$L113,TRUE()))),INDIRECT("'Ответы на форму (1)'!G"&amp;$L113,TRUE()))</f>
        <v>#REF!</v>
      </c>
      <c r="H113" s="7" t="e">
        <f aca="true">INDIRECT("'Ответы на форму (1)'!H"&amp;$L113,TRUE())</f>
        <v>#REF!</v>
      </c>
      <c r="I113" s="7" t="e">
        <f aca="true">INDIRECT("'Ответы на форму (1)'!I"&amp;$L113,TRUE())</f>
        <v>#REF!</v>
      </c>
      <c r="J113" s="7" t="e">
        <f aca="true">INDIRECT("'Ответы на форму (1)'!J"&amp;$L113,TRUE())</f>
        <v>#REF!</v>
      </c>
      <c r="K113" s="7" t="e">
        <f aca="false" t="array" ref="K113:K113">IF(COUNTIF(concat(TRIM('Список прошлого года'!$B$2:$B$200),TRIM('Список прошлого года'!$C$2:$C$200)),concat(TRIM(B113),TRIM(C113))) &gt; 0,IF(concat(TRIM(B113),TRIM(C113)) = "","","Да"),"Нет")</f>
        <v>#NAME?</v>
      </c>
      <c r="L113" s="5" t="n">
        <v>129</v>
      </c>
      <c r="M113" s="5" t="n">
        <v>2</v>
      </c>
      <c r="N113" s="7"/>
      <c r="O113" s="7" t="s">
        <v>70</v>
      </c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5.75" hidden="false" customHeight="false" outlineLevel="0" collapsed="false">
      <c r="A114" s="6" t="e">
        <f aca="true">INDIRECT("'Ответы на форму (1)'!A"&amp;$L114,TRUE())</f>
        <v>#REF!</v>
      </c>
      <c r="B114" s="7" t="e">
        <f aca="true">INDIRECT("'Ответы на форму (1)'!B"&amp;$L114,TRUE())</f>
        <v>#REF!</v>
      </c>
      <c r="C114" s="7" t="e">
        <f aca="true">INDIRECT("'Ответы на форму (1)'!C"&amp;$L114,TRUE())</f>
        <v>#REF!</v>
      </c>
      <c r="D114" s="7" t="e">
        <f aca="true">INDIRECT("'Ответы на форму (1)'!D"&amp;$L114,TRUE())</f>
        <v>#REF!</v>
      </c>
      <c r="E114" s="7" t="n">
        <f aca="false">IFERROR(__xludf.dummyfunction("iferror(VALUE(REGEXEXTRACT(TEXT(INDIRECT(""'Ответы на форму (1)'!E""&amp;$L114,TRUE),""####""),""[0-9]+"")),INDIRECT(""'Ответы на форму (1)'!E""&amp;$L114,TRUE))"),117)</f>
        <v>117</v>
      </c>
      <c r="F114" s="7" t="e">
        <f aca="true">INDIRECT("'Ответы на форму (1)'!F"&amp;$L114,TRUE())</f>
        <v>#REF!</v>
      </c>
      <c r="G114" s="8" t="e">
        <f aca="true">IFERROR(MID(INDIRECT("'Ответы на форму (1)'!G"&amp;$L114,TRUE()),SEARCH("vk.com",INDIRECT("'Ответы на форму (1)'!G"&amp;$L114,TRUE())),LEN(INDIRECT("'Ответы на форму (1)'!G"&amp;$L114,TRUE()))),INDIRECT("'Ответы на форму (1)'!G"&amp;$L114,TRUE()))</f>
        <v>#REF!</v>
      </c>
      <c r="H114" s="7" t="e">
        <f aca="true">INDIRECT("'Ответы на форму (1)'!H"&amp;$L114,TRUE())</f>
        <v>#REF!</v>
      </c>
      <c r="I114" s="7" t="e">
        <f aca="true">INDIRECT("'Ответы на форму (1)'!I"&amp;$L114,TRUE())</f>
        <v>#REF!</v>
      </c>
      <c r="J114" s="7" t="e">
        <f aca="true">INDIRECT("'Ответы на форму (1)'!J"&amp;$L114,TRUE())</f>
        <v>#REF!</v>
      </c>
      <c r="K114" s="7" t="e">
        <f aca="false" t="array" ref="K114:K114">IF(COUNTIF(concat(TRIM('Список прошлого года'!$B$2:$B$200),TRIM('Список прошлого года'!$C$2:$C$200)),concat(TRIM(B114),TRIM(C114))) &gt; 0,IF(concat(TRIM(B114),TRIM(C114)) = "","","Да"),"Нет")</f>
        <v>#NAME?</v>
      </c>
      <c r="L114" s="5" t="n">
        <v>130</v>
      </c>
      <c r="M114" s="5" t="n">
        <v>2</v>
      </c>
      <c r="N114" s="7"/>
      <c r="O114" s="7" t="s">
        <v>70</v>
      </c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5.75" hidden="false" customHeight="false" outlineLevel="0" collapsed="false">
      <c r="A115" s="6" t="e">
        <f aca="true">INDIRECT("'Ответы на форму (1)'!A"&amp;$L115,TRUE())</f>
        <v>#REF!</v>
      </c>
      <c r="B115" s="7" t="e">
        <f aca="true">INDIRECT("'Ответы на форму (1)'!B"&amp;$L115,TRUE())</f>
        <v>#REF!</v>
      </c>
      <c r="C115" s="7" t="e">
        <f aca="true">INDIRECT("'Ответы на форму (1)'!C"&amp;$L115,TRUE())</f>
        <v>#REF!</v>
      </c>
      <c r="D115" s="7" t="e">
        <f aca="true">INDIRECT("'Ответы на форму (1)'!D"&amp;$L115,TRUE())</f>
        <v>#REF!</v>
      </c>
      <c r="E115" s="7" t="n">
        <f aca="false">IFERROR(__xludf.dummyfunction("iferror(VALUE(REGEXEXTRACT(TEXT(INDIRECT(""'Ответы на форму (1)'!E""&amp;$L115,TRUE),""####""),""[0-9]+"")),INDIRECT(""'Ответы на форму (1)'!E""&amp;$L115,TRUE))"),36)</f>
        <v>36</v>
      </c>
      <c r="F115" s="7" t="e">
        <f aca="true">INDIRECT("'Ответы на форму (1)'!F"&amp;$L115,TRUE())</f>
        <v>#REF!</v>
      </c>
      <c r="G115" s="8" t="e">
        <f aca="true">IFERROR(MID(INDIRECT("'Ответы на форму (1)'!G"&amp;$L115,TRUE()),SEARCH("vk.com",INDIRECT("'Ответы на форму (1)'!G"&amp;$L115,TRUE())),LEN(INDIRECT("'Ответы на форму (1)'!G"&amp;$L115,TRUE()))),INDIRECT("'Ответы на форму (1)'!G"&amp;$L115,TRUE()))</f>
        <v>#REF!</v>
      </c>
      <c r="H115" s="7" t="e">
        <f aca="true">INDIRECT("'Ответы на форму (1)'!H"&amp;$L115,TRUE())</f>
        <v>#REF!</v>
      </c>
      <c r="I115" s="7" t="e">
        <f aca="true">INDIRECT("'Ответы на форму (1)'!I"&amp;$L115,TRUE())</f>
        <v>#REF!</v>
      </c>
      <c r="J115" s="7" t="e">
        <f aca="true">INDIRECT("'Ответы на форму (1)'!J"&amp;$L115,TRUE())</f>
        <v>#REF!</v>
      </c>
      <c r="K115" s="7" t="e">
        <f aca="false" t="array" ref="K115:K115">IF(COUNTIF(concat(TRIM('Список прошлого года'!$B$2:$B$200),TRIM('Список прошлого года'!$C$2:$C$200)),concat(TRIM(B115),TRIM(C115))) &gt; 0,IF(concat(TRIM(B115),TRIM(C115)) = "","","Да"),"Нет")</f>
        <v>#NAME?</v>
      </c>
      <c r="L115" s="5" t="n">
        <v>131</v>
      </c>
      <c r="M115" s="5" t="n">
        <v>2</v>
      </c>
      <c r="N115" s="7"/>
      <c r="O115" s="7" t="s">
        <v>80</v>
      </c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5.75" hidden="false" customHeight="false" outlineLevel="0" collapsed="false">
      <c r="A116" s="11" t="e">
        <f aca="true">INDIRECT("'Ответы на форму (1)'!A"&amp;$L116,TRUE())</f>
        <v>#REF!</v>
      </c>
      <c r="B116" s="0" t="e">
        <f aca="true">INDIRECT("'Ответы на форму (1)'!B"&amp;$L116,TRUE())</f>
        <v>#REF!</v>
      </c>
      <c r="C116" s="0" t="e">
        <f aca="true">INDIRECT("'Ответы на форму (1)'!C"&amp;$L116,TRUE())</f>
        <v>#REF!</v>
      </c>
      <c r="D116" s="0" t="e">
        <f aca="true">INDIRECT("'Ответы на форму (1)'!D"&amp;$L116,TRUE())</f>
        <v>#REF!</v>
      </c>
      <c r="E116" s="0" t="n">
        <f aca="false">IFERROR(__xludf.dummyfunction("iferror(VALUE(REGEXEXTRACT(TEXT(INDIRECT(""'Ответы на форму (1)'!E""&amp;$L116,TRUE),""####""),""[0-9]+"")),INDIRECT(""'Ответы на форму (1)'!E""&amp;$L116,TRUE))"),117)</f>
        <v>117</v>
      </c>
      <c r="F116" s="0" t="e">
        <f aca="true">INDIRECT("'Ответы на форму (1)'!F"&amp;$L116,TRUE())</f>
        <v>#REF!</v>
      </c>
      <c r="G116" s="12" t="e">
        <f aca="true">IFERROR(MID(INDIRECT("'Ответы на форму (1)'!G"&amp;$L116,TRUE()),SEARCH("vk.com",INDIRECT("'Ответы на форму (1)'!G"&amp;$L116,TRUE())),LEN(INDIRECT("'Ответы на форму (1)'!G"&amp;$L116,TRUE()))),INDIRECT("'Ответы на форму (1)'!G"&amp;$L116,TRUE()))</f>
        <v>#REF!</v>
      </c>
      <c r="H116" s="0" t="e">
        <f aca="true">INDIRECT("'Ответы на форму (1)'!H"&amp;$L116,TRUE())</f>
        <v>#REF!</v>
      </c>
      <c r="I116" s="0" t="e">
        <f aca="true">INDIRECT("'Ответы на форму (1)'!I"&amp;$L116,TRUE())</f>
        <v>#REF!</v>
      </c>
      <c r="J116" s="0" t="e">
        <f aca="true">INDIRECT("'Ответы на форму (1)'!J"&amp;$L116,TRUE())</f>
        <v>#REF!</v>
      </c>
      <c r="K116" s="0" t="e">
        <f aca="false" t="array" ref="K116:K116">IF(COUNTIF(concat(TRIM('Список прошлого года'!$B$2:$B$200),TRIM('Список прошлого года'!$C$2:$C$200)),concat(TRIM(B116),TRIM(C116))) &gt; 0,IF(concat(TRIM(B116),TRIM(C116)) = "","","Да"),"Нет")</f>
        <v>#NAME?</v>
      </c>
      <c r="L116" s="1" t="n">
        <v>132</v>
      </c>
      <c r="M116" s="1" t="n">
        <v>-1</v>
      </c>
      <c r="O116" s="0" t="s">
        <v>40</v>
      </c>
    </row>
    <row r="117" customFormat="false" ht="15.75" hidden="false" customHeight="false" outlineLevel="0" collapsed="false">
      <c r="A117" s="6" t="e">
        <f aca="true">INDIRECT("'Ответы на форму (1)'!A"&amp;$L117,TRUE())</f>
        <v>#REF!</v>
      </c>
      <c r="B117" s="7" t="e">
        <f aca="true">INDIRECT("'Ответы на форму (1)'!B"&amp;$L117,TRUE())</f>
        <v>#REF!</v>
      </c>
      <c r="C117" s="7" t="e">
        <f aca="true">INDIRECT("'Ответы на форму (1)'!C"&amp;$L117,TRUE())</f>
        <v>#REF!</v>
      </c>
      <c r="D117" s="7" t="e">
        <f aca="true">INDIRECT("'Ответы на форму (1)'!D"&amp;$L117,TRUE())</f>
        <v>#REF!</v>
      </c>
      <c r="E117" s="7" t="n">
        <f aca="false">IFERROR(__xludf.dummyfunction("iferror(VALUE(REGEXEXTRACT(TEXT(INDIRECT(""'Ответы на форму (1)'!E""&amp;$L117,TRUE),""####""),""[0-9]+"")),INDIRECT(""'Ответы на форму (1)'!E""&amp;$L117,TRUE))"),117)</f>
        <v>117</v>
      </c>
      <c r="F117" s="7" t="e">
        <f aca="true">INDIRECT("'Ответы на форму (1)'!F"&amp;$L117,TRUE())</f>
        <v>#REF!</v>
      </c>
      <c r="G117" s="8" t="e">
        <f aca="true">IFERROR(MID(INDIRECT("'Ответы на форму (1)'!G"&amp;$L117,TRUE()),SEARCH("vk.com",INDIRECT("'Ответы на форму (1)'!G"&amp;$L117,TRUE())),LEN(INDIRECT("'Ответы на форму (1)'!G"&amp;$L117,TRUE()))),INDIRECT("'Ответы на форму (1)'!G"&amp;$L117,TRUE()))</f>
        <v>#REF!</v>
      </c>
      <c r="H117" s="7" t="e">
        <f aca="true">INDIRECT("'Ответы на форму (1)'!H"&amp;$L117,TRUE())</f>
        <v>#REF!</v>
      </c>
      <c r="I117" s="7" t="e">
        <f aca="true">INDIRECT("'Ответы на форму (1)'!I"&amp;$L117,TRUE())</f>
        <v>#REF!</v>
      </c>
      <c r="J117" s="7" t="e">
        <f aca="true">INDIRECT("'Ответы на форму (1)'!J"&amp;$L117,TRUE())</f>
        <v>#REF!</v>
      </c>
      <c r="K117" s="7" t="e">
        <f aca="false" t="array" ref="K117:K117">IF(COUNTIF(concat(TRIM('Список прошлого года'!$B$2:$B$200),TRIM('Список прошлого года'!$C$2:$C$200)),concat(TRIM(B117),TRIM(C117))) &gt; 0,IF(concat(TRIM(B117),TRIM(C117)) = "","","Да"),"Нет")</f>
        <v>#NAME?</v>
      </c>
      <c r="L117" s="5" t="n">
        <v>133</v>
      </c>
      <c r="M117" s="5" t="n">
        <v>2</v>
      </c>
      <c r="N117" s="7"/>
      <c r="O117" s="7" t="s">
        <v>40</v>
      </c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5.75" hidden="false" customHeight="false" outlineLevel="0" collapsed="false">
      <c r="A118" s="11" t="e">
        <f aca="true">INDIRECT("'Ответы на форму (1)'!A"&amp;$L118,TRUE())</f>
        <v>#REF!</v>
      </c>
      <c r="B118" s="0" t="e">
        <f aca="true">INDIRECT("'Ответы на форму (1)'!B"&amp;$L118,TRUE())</f>
        <v>#REF!</v>
      </c>
      <c r="C118" s="0" t="e">
        <f aca="true">INDIRECT("'Ответы на форму (1)'!C"&amp;$L118,TRUE())</f>
        <v>#REF!</v>
      </c>
      <c r="D118" s="0" t="e">
        <f aca="true">INDIRECT("'Ответы на форму (1)'!D"&amp;$L118,TRUE())</f>
        <v>#REF!</v>
      </c>
      <c r="E118" s="0" t="n">
        <f aca="false">IFERROR(__xludf.dummyfunction("iferror(VALUE(REGEXEXTRACT(TEXT(INDIRECT(""'Ответы на форму (1)'!E""&amp;$L118,TRUE),""####""),""[0-9]+"")),INDIRECT(""'Ответы на форму (1)'!E""&amp;$L118,TRUE))"),150)</f>
        <v>150</v>
      </c>
      <c r="F118" s="0" t="e">
        <f aca="true">INDIRECT("'Ответы на форму (1)'!F"&amp;$L118,TRUE())</f>
        <v>#REF!</v>
      </c>
      <c r="G118" s="12" t="e">
        <f aca="true">IFERROR(MID(INDIRECT("'Ответы на форму (1)'!G"&amp;$L118,TRUE()),SEARCH("vk.com",INDIRECT("'Ответы на форму (1)'!G"&amp;$L118,TRUE())),LEN(INDIRECT("'Ответы на форму (1)'!G"&amp;$L118,TRUE()))),INDIRECT("'Ответы на форму (1)'!G"&amp;$L118,TRUE()))</f>
        <v>#REF!</v>
      </c>
      <c r="H118" s="0" t="e">
        <f aca="true">INDIRECT("'Ответы на форму (1)'!H"&amp;$L118,TRUE())</f>
        <v>#REF!</v>
      </c>
      <c r="I118" s="0" t="e">
        <f aca="true">INDIRECT("'Ответы на форму (1)'!I"&amp;$L118,TRUE())</f>
        <v>#REF!</v>
      </c>
      <c r="J118" s="0" t="e">
        <f aca="true">INDIRECT("'Ответы на форму (1)'!J"&amp;$L118,TRUE())</f>
        <v>#REF!</v>
      </c>
      <c r="K118" s="0" t="e">
        <f aca="false" t="array" ref="K118:K118">IF(COUNTIF(concat(TRIM('Список прошлого года'!$B$2:$B$200),TRIM('Список прошлого года'!$C$2:$C$200)),concat(TRIM(B118),TRIM(C118))) &gt; 0,IF(concat(TRIM(B118),TRIM(C118)) = "","","Да"),"Нет")</f>
        <v>#NAME?</v>
      </c>
      <c r="L118" s="1" t="n">
        <v>134</v>
      </c>
      <c r="M118" s="1" t="n">
        <v>-1</v>
      </c>
      <c r="O118" s="0" t="s">
        <v>22</v>
      </c>
    </row>
    <row r="119" customFormat="false" ht="15.75" hidden="false" customHeight="false" outlineLevel="0" collapsed="false">
      <c r="A119" s="11" t="e">
        <f aca="true">INDIRECT("'Ответы на форму (1)'!A"&amp;$L119,TRUE())</f>
        <v>#REF!</v>
      </c>
      <c r="B119" s="0" t="e">
        <f aca="true">INDIRECT("'Ответы на форму (1)'!B"&amp;$L119,TRUE())</f>
        <v>#REF!</v>
      </c>
      <c r="C119" s="0" t="e">
        <f aca="true">INDIRECT("'Ответы на форму (1)'!C"&amp;$L119,TRUE())</f>
        <v>#REF!</v>
      </c>
      <c r="D119" s="0" t="e">
        <f aca="true">INDIRECT("'Ответы на форму (1)'!D"&amp;$L119,TRUE())</f>
        <v>#REF!</v>
      </c>
      <c r="E119" s="0" t="n">
        <f aca="false">IFERROR(__xludf.dummyfunction("iferror(VALUE(REGEXEXTRACT(TEXT(INDIRECT(""'Ответы на форму (1)'!E""&amp;$L119,TRUE),""####""),""[0-9]+"")),INDIRECT(""'Ответы на форму (1)'!E""&amp;$L119,TRUE))"),44)</f>
        <v>44</v>
      </c>
      <c r="F119" s="0" t="e">
        <f aca="true">INDIRECT("'Ответы на форму (1)'!F"&amp;$L119,TRUE())</f>
        <v>#REF!</v>
      </c>
      <c r="G119" s="12" t="e">
        <f aca="true">IFERROR(MID(INDIRECT("'Ответы на форму (1)'!G"&amp;$L119,TRUE()),SEARCH("vk.com",INDIRECT("'Ответы на форму (1)'!G"&amp;$L119,TRUE())),LEN(INDIRECT("'Ответы на форму (1)'!G"&amp;$L119,TRUE()))),INDIRECT("'Ответы на форму (1)'!G"&amp;$L119,TRUE()))</f>
        <v>#REF!</v>
      </c>
      <c r="H119" s="0" t="e">
        <f aca="true">INDIRECT("'Ответы на форму (1)'!H"&amp;$L119,TRUE())</f>
        <v>#REF!</v>
      </c>
      <c r="I119" s="0" t="e">
        <f aca="true">INDIRECT("'Ответы на форму (1)'!I"&amp;$L119,TRUE())</f>
        <v>#REF!</v>
      </c>
      <c r="J119" s="0" t="e">
        <f aca="true">INDIRECT("'Ответы на форму (1)'!J"&amp;$L119,TRUE())</f>
        <v>#REF!</v>
      </c>
      <c r="K119" s="0" t="e">
        <f aca="false" t="array" ref="K119:K119">IF(COUNTIF(concat(TRIM('Список прошлого года'!$B$2:$B$200),TRIM('Список прошлого года'!$C$2:$C$200)),concat(TRIM(B119),TRIM(C119))) &gt; 0,IF(concat(TRIM(B119),TRIM(C119)) = "","","Да"),"Нет")</f>
        <v>#NAME?</v>
      </c>
      <c r="L119" s="1" t="n">
        <v>136</v>
      </c>
      <c r="M119" s="1" t="n">
        <v>2</v>
      </c>
      <c r="O119" s="0" t="s">
        <v>50</v>
      </c>
    </row>
    <row r="120" customFormat="false" ht="15.75" hidden="false" customHeight="false" outlineLevel="0" collapsed="false">
      <c r="A120" s="6" t="e">
        <f aca="true">INDIRECT("'Ответы на форму (1)'!A"&amp;$L120,TRUE())</f>
        <v>#REF!</v>
      </c>
      <c r="B120" s="7" t="e">
        <f aca="true">INDIRECT("'Ответы на форму (1)'!B"&amp;$L120,TRUE())</f>
        <v>#REF!</v>
      </c>
      <c r="C120" s="7" t="e">
        <f aca="true">INDIRECT("'Ответы на форму (1)'!C"&amp;$L120,TRUE())</f>
        <v>#REF!</v>
      </c>
      <c r="D120" s="7" t="e">
        <f aca="true">INDIRECT("'Ответы на форму (1)'!D"&amp;$L120,TRUE())</f>
        <v>#REF!</v>
      </c>
      <c r="E120" s="7" t="n">
        <f aca="false">IFERROR(__xludf.dummyfunction("iferror(VALUE(REGEXEXTRACT(TEXT(INDIRECT(""'Ответы на форму (1)'!E""&amp;$L120,TRUE),""####""),""[0-9]+"")),INDIRECT(""'Ответы на форму (1)'!E""&amp;$L120,TRUE))"),137)</f>
        <v>137</v>
      </c>
      <c r="F120" s="7" t="e">
        <f aca="true">INDIRECT("'Ответы на форму (1)'!F"&amp;$L120,TRUE())</f>
        <v>#REF!</v>
      </c>
      <c r="G120" s="8" t="e">
        <f aca="true">IFERROR(MID(INDIRECT("'Ответы на форму (1)'!G"&amp;$L120,TRUE()),SEARCH("vk.com",INDIRECT("'Ответы на форму (1)'!G"&amp;$L120,TRUE())),LEN(INDIRECT("'Ответы на форму (1)'!G"&amp;$L120,TRUE()))),INDIRECT("'Ответы на форму (1)'!G"&amp;$L120,TRUE()))</f>
        <v>#REF!</v>
      </c>
      <c r="H120" s="7" t="e">
        <f aca="true">INDIRECT("'Ответы на форму (1)'!H"&amp;$L120,TRUE())</f>
        <v>#REF!</v>
      </c>
      <c r="I120" s="7" t="e">
        <f aca="true">INDIRECT("'Ответы на форму (1)'!I"&amp;$L120,TRUE())</f>
        <v>#REF!</v>
      </c>
      <c r="J120" s="7" t="e">
        <f aca="true">INDIRECT("'Ответы на форму (1)'!J"&amp;$L120,TRUE())</f>
        <v>#REF!</v>
      </c>
      <c r="K120" s="7" t="e">
        <f aca="false" t="array" ref="K120:K120">IF(COUNTIF(concat(TRIM('Список прошлого года'!$B$2:$B$200),TRIM('Список прошлого года'!$C$2:$C$200)),concat(TRIM(B120),TRIM(C120))) &gt; 0,IF(concat(TRIM(B120),TRIM(C120)) = "","","Да"),"Нет")</f>
        <v>#NAME?</v>
      </c>
      <c r="L120" s="5" t="n">
        <v>137</v>
      </c>
      <c r="M120" s="5" t="n">
        <v>2</v>
      </c>
      <c r="N120" s="7"/>
      <c r="O120" s="7" t="s">
        <v>51</v>
      </c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5.75" hidden="false" customHeight="false" outlineLevel="0" collapsed="false">
      <c r="A121" s="11" t="e">
        <f aca="true">INDIRECT("'Ответы на форму (1)'!A"&amp;$L121,TRUE())</f>
        <v>#REF!</v>
      </c>
      <c r="B121" s="0" t="e">
        <f aca="true">INDIRECT("'Ответы на форму (1)'!B"&amp;$L121,TRUE())</f>
        <v>#REF!</v>
      </c>
      <c r="C121" s="0" t="e">
        <f aca="true">INDIRECT("'Ответы на форму (1)'!C"&amp;$L121,TRUE())</f>
        <v>#REF!</v>
      </c>
      <c r="D121" s="0" t="e">
        <f aca="true">INDIRECT("'Ответы на форму (1)'!D"&amp;$L121,TRUE())</f>
        <v>#REF!</v>
      </c>
      <c r="E121" s="0" t="n">
        <f aca="false">IFERROR(__xludf.dummyfunction("iferror(VALUE(REGEXEXTRACT(TEXT(INDIRECT(""'Ответы на форму (1)'!E""&amp;$L121,TRUE),""####""),""[0-9]+"")),INDIRECT(""'Ответы на форму (1)'!E""&amp;$L121,TRUE))"),117)</f>
        <v>117</v>
      </c>
      <c r="F121" s="0" t="e">
        <f aca="true">INDIRECT("'Ответы на форму (1)'!F"&amp;$L121,TRUE())</f>
        <v>#REF!</v>
      </c>
      <c r="G121" s="12" t="e">
        <f aca="true">IFERROR(MID(INDIRECT("'Ответы на форму (1)'!G"&amp;$L121,TRUE()),SEARCH("vk.com",INDIRECT("'Ответы на форму (1)'!G"&amp;$L121,TRUE())),LEN(INDIRECT("'Ответы на форму (1)'!G"&amp;$L121,TRUE()))),INDIRECT("'Ответы на форму (1)'!G"&amp;$L121,TRUE()))</f>
        <v>#REF!</v>
      </c>
      <c r="H121" s="0" t="e">
        <f aca="true">INDIRECT("'Ответы на форму (1)'!H"&amp;$L121,TRUE())</f>
        <v>#REF!</v>
      </c>
      <c r="I121" s="0" t="e">
        <f aca="true">INDIRECT("'Ответы на форму (1)'!I"&amp;$L121,TRUE())</f>
        <v>#REF!</v>
      </c>
      <c r="J121" s="0" t="e">
        <f aca="true">INDIRECT("'Ответы на форму (1)'!J"&amp;$L121,TRUE())</f>
        <v>#REF!</v>
      </c>
      <c r="K121" s="0" t="e">
        <f aca="false" t="array" ref="K121:K121">IF(COUNTIF(concat(TRIM('Список прошлого года'!$B$2:$B$200),TRIM('Список прошлого года'!$C$2:$C$200)),concat(TRIM(B121),TRIM(C121))) &gt; 0,IF(concat(TRIM(B121),TRIM(C121)) = "","","Да"),"Нет")</f>
        <v>#NAME?</v>
      </c>
      <c r="L121" s="1" t="n">
        <v>138</v>
      </c>
      <c r="M121" s="1" t="n">
        <v>2</v>
      </c>
      <c r="O121" s="0" t="s">
        <v>22</v>
      </c>
    </row>
    <row r="122" customFormat="false" ht="15.75" hidden="false" customHeight="false" outlineLevel="0" collapsed="false">
      <c r="A122" s="6" t="e">
        <f aca="true">INDIRECT("'Ответы на форму (1)'!A"&amp;$L122,TRUE())</f>
        <v>#REF!</v>
      </c>
      <c r="B122" s="7" t="e">
        <f aca="true">INDIRECT("'Ответы на форму (1)'!B"&amp;$L122,TRUE())</f>
        <v>#REF!</v>
      </c>
      <c r="C122" s="7" t="e">
        <f aca="true">INDIRECT("'Ответы на форму (1)'!C"&amp;$L122,TRUE())</f>
        <v>#REF!</v>
      </c>
      <c r="D122" s="7" t="e">
        <f aca="true">INDIRECT("'Ответы на форму (1)'!D"&amp;$L122,TRUE())</f>
        <v>#REF!</v>
      </c>
      <c r="E122" s="7" t="n">
        <f aca="false">IFERROR(__xludf.dummyfunction("iferror(VALUE(REGEXEXTRACT(TEXT(INDIRECT(""'Ответы на форму (1)'!E""&amp;$L122,TRUE),""####""),""[0-9]+"")),INDIRECT(""'Ответы на форму (1)'!E""&amp;$L122,TRUE))"),117)</f>
        <v>117</v>
      </c>
      <c r="F122" s="7" t="e">
        <f aca="true">INDIRECT("'Ответы на форму (1)'!F"&amp;$L122,TRUE())</f>
        <v>#REF!</v>
      </c>
      <c r="G122" s="8" t="e">
        <f aca="true">IFERROR(MID(INDIRECT("'Ответы на форму (1)'!G"&amp;$L122,TRUE()),SEARCH("vk.com",INDIRECT("'Ответы на форму (1)'!G"&amp;$L122,TRUE())),LEN(INDIRECT("'Ответы на форму (1)'!G"&amp;$L122,TRUE()))),INDIRECT("'Ответы на форму (1)'!G"&amp;$L122,TRUE()))</f>
        <v>#REF!</v>
      </c>
      <c r="H122" s="7" t="e">
        <f aca="true">INDIRECT("'Ответы на форму (1)'!H"&amp;$L122,TRUE())</f>
        <v>#REF!</v>
      </c>
      <c r="I122" s="7" t="e">
        <f aca="true">INDIRECT("'Ответы на форму (1)'!I"&amp;$L122,TRUE())</f>
        <v>#REF!</v>
      </c>
      <c r="J122" s="7" t="e">
        <f aca="true">INDIRECT("'Ответы на форму (1)'!J"&amp;$L122,TRUE())</f>
        <v>#REF!</v>
      </c>
      <c r="K122" s="7" t="e">
        <f aca="false" t="array" ref="K122:K122">IF(COUNTIF(concat(TRIM('Список прошлого года'!$B$2:$B$200),TRIM('Список прошлого года'!$C$2:$C$200)),concat(TRIM(B122),TRIM(C122))) &gt; 0,IF(concat(TRIM(B122),TRIM(C122)) = "","","Да"),"Нет")</f>
        <v>#NAME?</v>
      </c>
      <c r="L122" s="5" t="n">
        <v>139</v>
      </c>
      <c r="M122" s="5" t="n">
        <v>2</v>
      </c>
      <c r="N122" s="5" t="s">
        <v>696</v>
      </c>
      <c r="O122" s="7" t="s">
        <v>50</v>
      </c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5.75" hidden="false" customHeight="false" outlineLevel="0" collapsed="false">
      <c r="A123" s="6" t="e">
        <f aca="true">INDIRECT("'Ответы на форму (1)'!A"&amp;$L123,TRUE())</f>
        <v>#REF!</v>
      </c>
      <c r="B123" s="7" t="e">
        <f aca="true">INDIRECT("'Ответы на форму (1)'!B"&amp;$L123,TRUE())</f>
        <v>#REF!</v>
      </c>
      <c r="C123" s="7" t="e">
        <f aca="true">INDIRECT("'Ответы на форму (1)'!C"&amp;$L123,TRUE())</f>
        <v>#REF!</v>
      </c>
      <c r="D123" s="7" t="e">
        <f aca="true">INDIRECT("'Ответы на форму (1)'!D"&amp;$L123,TRUE())</f>
        <v>#REF!</v>
      </c>
      <c r="E123" s="7" t="n">
        <f aca="false">IFERROR(__xludf.dummyfunction("iferror(VALUE(REGEXEXTRACT(TEXT(INDIRECT(""'Ответы на форму (1)'!E""&amp;$L123,TRUE),""####""),""[0-9]+"")),INDIRECT(""'Ответы на форму (1)'!E""&amp;$L123,TRUE))"),36)</f>
        <v>36</v>
      </c>
      <c r="F123" s="7" t="e">
        <f aca="true">INDIRECT("'Ответы на форму (1)'!F"&amp;$L123,TRUE())</f>
        <v>#REF!</v>
      </c>
      <c r="G123" s="8" t="e">
        <f aca="true">IFERROR(MID(INDIRECT("'Ответы на форму (1)'!G"&amp;$L123,TRUE()),SEARCH("vk.com",INDIRECT("'Ответы на форму (1)'!G"&amp;$L123,TRUE())),LEN(INDIRECT("'Ответы на форму (1)'!G"&amp;$L123,TRUE()))),INDIRECT("'Ответы на форму (1)'!G"&amp;$L123,TRUE()))</f>
        <v>#REF!</v>
      </c>
      <c r="H123" s="7" t="e">
        <f aca="true">INDIRECT("'Ответы на форму (1)'!H"&amp;$L123,TRUE())</f>
        <v>#REF!</v>
      </c>
      <c r="I123" s="7" t="e">
        <f aca="true">INDIRECT("'Ответы на форму (1)'!I"&amp;$L123,TRUE())</f>
        <v>#REF!</v>
      </c>
      <c r="J123" s="7" t="e">
        <f aca="true">INDIRECT("'Ответы на форму (1)'!J"&amp;$L123,TRUE())</f>
        <v>#REF!</v>
      </c>
      <c r="K123" s="7" t="e">
        <f aca="false" t="array" ref="K123:K123">IF(COUNTIF(concat(TRIM('Список прошлого года'!$B$2:$B$200),TRIM('Список прошлого года'!$C$2:$C$200)),concat(TRIM(B123),TRIM(C123))) &gt; 0,IF(concat(TRIM(B123),TRIM(C123)) = "","","Да"),"Нет")</f>
        <v>#NAME?</v>
      </c>
      <c r="L123" s="5" t="n">
        <v>140</v>
      </c>
      <c r="M123" s="5" t="n">
        <v>2</v>
      </c>
      <c r="N123" s="7"/>
      <c r="O123" s="7" t="s">
        <v>70</v>
      </c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5.75" hidden="false" customHeight="false" outlineLevel="0" collapsed="false">
      <c r="A124" s="11" t="e">
        <f aca="true">INDIRECT("'Ответы на форму (1)'!A"&amp;$L124,TRUE())</f>
        <v>#REF!</v>
      </c>
      <c r="B124" s="0" t="e">
        <f aca="true">INDIRECT("'Ответы на форму (1)'!B"&amp;$L124,TRUE())</f>
        <v>#REF!</v>
      </c>
      <c r="C124" s="0" t="e">
        <f aca="true">INDIRECT("'Ответы на форму (1)'!C"&amp;$L124,TRUE())</f>
        <v>#REF!</v>
      </c>
      <c r="D124" s="0" t="e">
        <f aca="true">INDIRECT("'Ответы на форму (1)'!D"&amp;$L124,TRUE())</f>
        <v>#REF!</v>
      </c>
      <c r="E124" s="0" t="n">
        <f aca="false">IFERROR(__xludf.dummyfunction("iferror(VALUE(REGEXEXTRACT(TEXT(INDIRECT(""'Ответы на форму (1)'!E""&amp;$L124,TRUE),""####""),""[0-9]+"")),INDIRECT(""'Ответы на форму (1)'!E""&amp;$L124,TRUE))"),1)</f>
        <v>1</v>
      </c>
      <c r="F124" s="0" t="e">
        <f aca="true">INDIRECT("'Ответы на форму (1)'!F"&amp;$L124,TRUE())</f>
        <v>#REF!</v>
      </c>
      <c r="G124" s="12" t="e">
        <f aca="true">IFERROR(MID(INDIRECT("'Ответы на форму (1)'!G"&amp;$L124,TRUE()),SEARCH("vk.com",INDIRECT("'Ответы на форму (1)'!G"&amp;$L124,TRUE())),LEN(INDIRECT("'Ответы на форму (1)'!G"&amp;$L124,TRUE()))),INDIRECT("'Ответы на форму (1)'!G"&amp;$L124,TRUE()))</f>
        <v>#REF!</v>
      </c>
      <c r="H124" s="0" t="e">
        <f aca="true">INDIRECT("'Ответы на форму (1)'!H"&amp;$L124,TRUE())</f>
        <v>#REF!</v>
      </c>
      <c r="I124" s="0" t="e">
        <f aca="true">INDIRECT("'Ответы на форму (1)'!I"&amp;$L124,TRUE())</f>
        <v>#REF!</v>
      </c>
      <c r="J124" s="0" t="e">
        <f aca="true">INDIRECT("'Ответы на форму (1)'!J"&amp;$L124,TRUE())</f>
        <v>#REF!</v>
      </c>
      <c r="K124" s="0" t="e">
        <f aca="false" t="array" ref="K124:K124">IF(COUNTIF(concat(TRIM('Список прошлого года'!$B$2:$B$200),TRIM('Список прошлого года'!$C$2:$C$200)),concat(TRIM(B124),TRIM(C124))) &gt; 0,IF(concat(TRIM(B124),TRIM(C124)) = "","","Да"),"Нет")</f>
        <v>#NAME?</v>
      </c>
      <c r="L124" s="1" t="n">
        <v>141</v>
      </c>
      <c r="M124" s="1" t="n">
        <v>2</v>
      </c>
      <c r="O124" s="0" t="s">
        <v>70</v>
      </c>
    </row>
    <row r="125" customFormat="false" ht="15.75" hidden="false" customHeight="false" outlineLevel="0" collapsed="false">
      <c r="A125" s="11" t="e">
        <f aca="true">INDIRECT("'Ответы на форму (1)'!A"&amp;$L125,TRUE())</f>
        <v>#REF!</v>
      </c>
      <c r="B125" s="0" t="e">
        <f aca="true">INDIRECT("'Ответы на форму (1)'!B"&amp;$L125,TRUE())</f>
        <v>#REF!</v>
      </c>
      <c r="C125" s="0" t="e">
        <f aca="true">INDIRECT("'Ответы на форму (1)'!C"&amp;$L125,TRUE())</f>
        <v>#REF!</v>
      </c>
      <c r="D125" s="0" t="e">
        <f aca="true">INDIRECT("'Ответы на форму (1)'!D"&amp;$L125,TRUE())</f>
        <v>#REF!</v>
      </c>
      <c r="E125" s="0" t="n">
        <f aca="false">IFERROR(__xludf.dummyfunction("iferror(VALUE(REGEXEXTRACT(TEXT(INDIRECT(""'Ответы на форму (1)'!E""&amp;$L125,TRUE),""####""),""[0-9]+"")),INDIRECT(""'Ответы на форму (1)'!E""&amp;$L125,TRUE))"),1)</f>
        <v>1</v>
      </c>
      <c r="F125" s="0" t="e">
        <f aca="true">INDIRECT("'Ответы на форму (1)'!F"&amp;$L125,TRUE())</f>
        <v>#REF!</v>
      </c>
      <c r="G125" s="12" t="e">
        <f aca="true">IFERROR(MID(INDIRECT("'Ответы на форму (1)'!G"&amp;$L125,TRUE()),SEARCH("vk.com",INDIRECT("'Ответы на форму (1)'!G"&amp;$L125,TRUE())),LEN(INDIRECT("'Ответы на форму (1)'!G"&amp;$L125,TRUE()))),INDIRECT("'Ответы на форму (1)'!G"&amp;$L125,TRUE()))</f>
        <v>#REF!</v>
      </c>
      <c r="H125" s="0" t="e">
        <f aca="true">INDIRECT("'Ответы на форму (1)'!H"&amp;$L125,TRUE())</f>
        <v>#REF!</v>
      </c>
      <c r="I125" s="0" t="e">
        <f aca="true">INDIRECT("'Ответы на форму (1)'!I"&amp;$L125,TRUE())</f>
        <v>#REF!</v>
      </c>
      <c r="J125" s="0" t="e">
        <f aca="true">INDIRECT("'Ответы на форму (1)'!J"&amp;$L125,TRUE())</f>
        <v>#REF!</v>
      </c>
      <c r="K125" s="0" t="e">
        <f aca="false" t="array" ref="K125:K125">IF(COUNTIF(concat(TRIM('Список прошлого года'!$B$2:$B$200),TRIM('Список прошлого года'!$C$2:$C$200)),concat(TRIM(B125),TRIM(C125))) &gt; 0,IF(concat(TRIM(B125),TRIM(C125)) = "","","Да"),"Нет")</f>
        <v>#NAME?</v>
      </c>
      <c r="L125" s="1" t="n">
        <v>142</v>
      </c>
      <c r="M125" s="1" t="n">
        <v>-1</v>
      </c>
      <c r="O125" s="0" t="s">
        <v>15</v>
      </c>
    </row>
    <row r="126" customFormat="false" ht="15.75" hidden="false" customHeight="false" outlineLevel="0" collapsed="false">
      <c r="A126" s="6" t="e">
        <f aca="true">INDIRECT("'Ответы на форму (1)'!A"&amp;$L126,TRUE())</f>
        <v>#REF!</v>
      </c>
      <c r="B126" s="7" t="e">
        <f aca="true">INDIRECT("'Ответы на форму (1)'!B"&amp;$L126,TRUE())</f>
        <v>#REF!</v>
      </c>
      <c r="C126" s="7" t="e">
        <f aca="true">INDIRECT("'Ответы на форму (1)'!C"&amp;$L126,TRUE())</f>
        <v>#REF!</v>
      </c>
      <c r="D126" s="7" t="e">
        <f aca="true">INDIRECT("'Ответы на форму (1)'!D"&amp;$L126,TRUE())</f>
        <v>#REF!</v>
      </c>
      <c r="E126" s="7" t="n">
        <f aca="false">IFERROR(__xludf.dummyfunction("iferror(VALUE(REGEXEXTRACT(TEXT(INDIRECT(""'Ответы на форму (1)'!E""&amp;$L126,TRUE),""####""),""[0-9]+"")),INDIRECT(""'Ответы на форму (1)'!E""&amp;$L126,TRUE))"),9)</f>
        <v>9</v>
      </c>
      <c r="F126" s="7" t="e">
        <f aca="true">INDIRECT("'Ответы на форму (1)'!F"&amp;$L126,TRUE())</f>
        <v>#REF!</v>
      </c>
      <c r="G126" s="8" t="e">
        <f aca="true">IFERROR(MID(INDIRECT("'Ответы на форму (1)'!G"&amp;$L126,TRUE()),SEARCH("vk.com",INDIRECT("'Ответы на форму (1)'!G"&amp;$L126,TRUE())),LEN(INDIRECT("'Ответы на форму (1)'!G"&amp;$L126,TRUE()))),INDIRECT("'Ответы на форму (1)'!G"&amp;$L126,TRUE()))</f>
        <v>#REF!</v>
      </c>
      <c r="H126" s="7" t="e">
        <f aca="true">INDIRECT("'Ответы на форму (1)'!H"&amp;$L126,TRUE())</f>
        <v>#REF!</v>
      </c>
      <c r="I126" s="7" t="e">
        <f aca="true">INDIRECT("'Ответы на форму (1)'!I"&amp;$L126,TRUE())</f>
        <v>#REF!</v>
      </c>
      <c r="J126" s="7" t="e">
        <f aca="true">INDIRECT("'Ответы на форму (1)'!J"&amp;$L126,TRUE())</f>
        <v>#REF!</v>
      </c>
      <c r="K126" s="7" t="e">
        <f aca="false" t="array" ref="K126:K126">IF(COUNTIF(concat(TRIM('Список прошлого года'!$B$2:$B$200),TRIM('Список прошлого года'!$C$2:$C$200)),concat(TRIM(B126),TRIM(C126))) &gt; 0,IF(concat(TRIM(B126),TRIM(C126)) = "","","Да"),"Нет")</f>
        <v>#NAME?</v>
      </c>
      <c r="L126" s="5" t="n">
        <v>143</v>
      </c>
      <c r="M126" s="5" t="n">
        <v>2</v>
      </c>
      <c r="N126" s="7"/>
      <c r="O126" s="7" t="s">
        <v>51</v>
      </c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5.75" hidden="false" customHeight="false" outlineLevel="0" collapsed="false">
      <c r="A127" s="6" t="e">
        <f aca="true">INDIRECT("'Ответы на форму (1)'!A"&amp;$L127,TRUE())</f>
        <v>#REF!</v>
      </c>
      <c r="B127" s="7" t="e">
        <f aca="true">INDIRECT("'Ответы на форму (1)'!B"&amp;$L127,TRUE())</f>
        <v>#REF!</v>
      </c>
      <c r="C127" s="7" t="e">
        <f aca="true">INDIRECT("'Ответы на форму (1)'!C"&amp;$L127,TRUE())</f>
        <v>#REF!</v>
      </c>
      <c r="D127" s="7" t="e">
        <f aca="true">INDIRECT("'Ответы на форму (1)'!D"&amp;$L127,TRUE())</f>
        <v>#REF!</v>
      </c>
      <c r="E127" s="7" t="n">
        <f aca="false">IFERROR(__xludf.dummyfunction("iferror(VALUE(REGEXEXTRACT(TEXT(INDIRECT(""'Ответы на форму (1)'!E""&amp;$L127,TRUE),""####""),""[0-9]+"")),INDIRECT(""'Ответы на форму (1)'!E""&amp;$L127,TRUE))"),117)</f>
        <v>117</v>
      </c>
      <c r="F127" s="7" t="e">
        <f aca="true">INDIRECT("'Ответы на форму (1)'!F"&amp;$L127,TRUE())</f>
        <v>#REF!</v>
      </c>
      <c r="G127" s="8" t="e">
        <f aca="true">IFERROR(MID(INDIRECT("'Ответы на форму (1)'!G"&amp;$L127,TRUE()),SEARCH("vk.com",INDIRECT("'Ответы на форму (1)'!G"&amp;$L127,TRUE())),LEN(INDIRECT("'Ответы на форму (1)'!G"&amp;$L127,TRUE()))),INDIRECT("'Ответы на форму (1)'!G"&amp;$L127,TRUE()))</f>
        <v>#REF!</v>
      </c>
      <c r="H127" s="7" t="e">
        <f aca="true">INDIRECT("'Ответы на форму (1)'!H"&amp;$L127,TRUE())</f>
        <v>#REF!</v>
      </c>
      <c r="I127" s="7" t="e">
        <f aca="true">INDIRECT("'Ответы на форму (1)'!I"&amp;$L127,TRUE())</f>
        <v>#REF!</v>
      </c>
      <c r="J127" s="7" t="e">
        <f aca="true">INDIRECT("'Ответы на форму (1)'!J"&amp;$L127,TRUE())</f>
        <v>#REF!</v>
      </c>
      <c r="K127" s="7" t="e">
        <f aca="false" t="array" ref="K127:K127">IF(COUNTIF(concat(TRIM('Список прошлого года'!$B$2:$B$200),TRIM('Список прошлого года'!$C$2:$C$200)),concat(TRIM(B127),TRIM(C127))) &gt; 0,IF(concat(TRIM(B127),TRIM(C127)) = "","","Да"),"Нет")</f>
        <v>#NAME?</v>
      </c>
      <c r="L127" s="5" t="n">
        <v>144</v>
      </c>
      <c r="M127" s="5" t="n">
        <v>2</v>
      </c>
      <c r="N127" s="7"/>
      <c r="O127" s="7" t="s">
        <v>70</v>
      </c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5.75" hidden="false" customHeight="false" outlineLevel="0" collapsed="false">
      <c r="A128" s="11" t="e">
        <f aca="true">INDIRECT("'Ответы на форму (1)'!A"&amp;$L128,TRUE())</f>
        <v>#REF!</v>
      </c>
      <c r="B128" s="0" t="e">
        <f aca="true">INDIRECT("'Ответы на форму (1)'!B"&amp;$L128,TRUE())</f>
        <v>#REF!</v>
      </c>
      <c r="C128" s="0" t="e">
        <f aca="true">INDIRECT("'Ответы на форму (1)'!C"&amp;$L128,TRUE())</f>
        <v>#REF!</v>
      </c>
      <c r="D128" s="0" t="e">
        <f aca="true">INDIRECT("'Ответы на форму (1)'!D"&amp;$L128,TRUE())</f>
        <v>#REF!</v>
      </c>
      <c r="E128" s="0" t="n">
        <f aca="false">IFERROR(__xludf.dummyfunction("iferror(VALUE(REGEXEXTRACT(TEXT(INDIRECT(""'Ответы на форму (1)'!E""&amp;$L128,TRUE),""####""),""[0-9]+"")),INDIRECT(""'Ответы на форму (1)'!E""&amp;$L128,TRUE))"),64)</f>
        <v>64</v>
      </c>
      <c r="F128" s="0" t="e">
        <f aca="true">INDIRECT("'Ответы на форму (1)'!F"&amp;$L128,TRUE())</f>
        <v>#REF!</v>
      </c>
      <c r="G128" s="12" t="e">
        <f aca="true">IFERROR(MID(INDIRECT("'Ответы на форму (1)'!G"&amp;$L128,TRUE()),SEARCH("vk.com",INDIRECT("'Ответы на форму (1)'!G"&amp;$L128,TRUE())),LEN(INDIRECT("'Ответы на форму (1)'!G"&amp;$L128,TRUE()))),INDIRECT("'Ответы на форму (1)'!G"&amp;$L128,TRUE()))</f>
        <v>#REF!</v>
      </c>
      <c r="H128" s="0" t="e">
        <f aca="true">INDIRECT("'Ответы на форму (1)'!H"&amp;$L128,TRUE())</f>
        <v>#REF!</v>
      </c>
      <c r="I128" s="0" t="e">
        <f aca="true">INDIRECT("'Ответы на форму (1)'!I"&amp;$L128,TRUE())</f>
        <v>#REF!</v>
      </c>
      <c r="J128" s="0" t="e">
        <f aca="true">INDIRECT("'Ответы на форму (1)'!J"&amp;$L128,TRUE())</f>
        <v>#REF!</v>
      </c>
      <c r="K128" s="0" t="e">
        <f aca="false" t="array" ref="K128:K128">IF(COUNTIF(concat(TRIM('Список прошлого года'!$B$2:$B$200),TRIM('Список прошлого года'!$C$2:$C$200)),concat(TRIM(B128),TRIM(C128))) &gt; 0,IF(concat(TRIM(B128),TRIM(C128)) = "","","Да"),"Нет")</f>
        <v>#NAME?</v>
      </c>
      <c r="L128" s="1" t="n">
        <v>145</v>
      </c>
      <c r="M128" s="1" t="n">
        <v>2</v>
      </c>
      <c r="O128" s="0" t="s">
        <v>15</v>
      </c>
    </row>
    <row r="129" customFormat="false" ht="15.75" hidden="false" customHeight="false" outlineLevel="0" collapsed="false">
      <c r="A129" s="11" t="e">
        <f aca="true">INDIRECT("'Ответы на форму (1)'!A"&amp;$L129,TRUE())</f>
        <v>#REF!</v>
      </c>
      <c r="B129" s="0" t="e">
        <f aca="true">INDIRECT("'Ответы на форму (1)'!B"&amp;$L129,TRUE())</f>
        <v>#REF!</v>
      </c>
      <c r="C129" s="0" t="e">
        <f aca="true">INDIRECT("'Ответы на форму (1)'!C"&amp;$L129,TRUE())</f>
        <v>#REF!</v>
      </c>
      <c r="D129" s="0" t="e">
        <f aca="true">INDIRECT("'Ответы на форму (1)'!D"&amp;$L129,TRUE())</f>
        <v>#REF!</v>
      </c>
      <c r="E129" s="0" t="n">
        <f aca="false">IFERROR(__xludf.dummyfunction("iferror(VALUE(REGEXEXTRACT(TEXT(INDIRECT(""'Ответы на форму (1)'!E""&amp;$L129,TRUE),""####""),""[0-9]+"")),INDIRECT(""'Ответы на форму (1)'!E""&amp;$L129,TRUE))"),64)</f>
        <v>64</v>
      </c>
      <c r="F129" s="0" t="e">
        <f aca="true">INDIRECT("'Ответы на форму (1)'!F"&amp;$L129,TRUE())</f>
        <v>#REF!</v>
      </c>
      <c r="G129" s="12" t="e">
        <f aca="true">IFERROR(MID(INDIRECT("'Ответы на форму (1)'!G"&amp;$L129,TRUE()),SEARCH("vk.com",INDIRECT("'Ответы на форму (1)'!G"&amp;$L129,TRUE())),LEN(INDIRECT("'Ответы на форму (1)'!G"&amp;$L129,TRUE()))),INDIRECT("'Ответы на форму (1)'!G"&amp;$L129,TRUE()))</f>
        <v>#REF!</v>
      </c>
      <c r="H129" s="0" t="e">
        <f aca="true">INDIRECT("'Ответы на форму (1)'!H"&amp;$L129,TRUE())</f>
        <v>#REF!</v>
      </c>
      <c r="I129" s="0" t="e">
        <f aca="true">INDIRECT("'Ответы на форму (1)'!I"&amp;$L129,TRUE())</f>
        <v>#REF!</v>
      </c>
      <c r="J129" s="0" t="e">
        <f aca="true">INDIRECT("'Ответы на форму (1)'!J"&amp;$L129,TRUE())</f>
        <v>#REF!</v>
      </c>
      <c r="K129" s="0" t="e">
        <f aca="false" t="array" ref="K129:K129">IF(COUNTIF(concat(TRIM('Список прошлого года'!$B$2:$B$200),TRIM('Список прошлого года'!$C$2:$C$200)),concat(TRIM(B129),TRIM(C129))) &gt; 0,IF(concat(TRIM(B129),TRIM(C129)) = "","","Да"),"Нет")</f>
        <v>#NAME?</v>
      </c>
      <c r="L129" s="1" t="n">
        <v>146</v>
      </c>
      <c r="M129" s="1" t="n">
        <v>-1</v>
      </c>
      <c r="O129" s="0" t="s">
        <v>40</v>
      </c>
    </row>
    <row r="130" customFormat="false" ht="15.75" hidden="false" customHeight="false" outlineLevel="0" collapsed="false">
      <c r="A130" s="6" t="e">
        <f aca="true">INDIRECT("'Ответы на форму (1)'!A"&amp;$L130,TRUE())</f>
        <v>#REF!</v>
      </c>
      <c r="B130" s="7" t="e">
        <f aca="true">INDIRECT("'Ответы на форму (1)'!B"&amp;$L130,TRUE())</f>
        <v>#REF!</v>
      </c>
      <c r="C130" s="7" t="e">
        <f aca="true">INDIRECT("'Ответы на форму (1)'!C"&amp;$L130,TRUE())</f>
        <v>#REF!</v>
      </c>
      <c r="D130" s="7" t="e">
        <f aca="true">INDIRECT("'Ответы на форму (1)'!D"&amp;$L130,TRUE())</f>
        <v>#REF!</v>
      </c>
      <c r="E130" s="7" t="n">
        <f aca="false">IFERROR(__xludf.dummyfunction("iferror(VALUE(REGEXEXTRACT(TEXT(INDIRECT(""'Ответы на форму (1)'!E""&amp;$L130,TRUE),""####""),""[0-9]+"")),INDIRECT(""'Ответы на форму (1)'!E""&amp;$L130,TRUE))"),117)</f>
        <v>117</v>
      </c>
      <c r="F130" s="7" t="e">
        <f aca="true">INDIRECT("'Ответы на форму (1)'!F"&amp;$L130,TRUE())</f>
        <v>#REF!</v>
      </c>
      <c r="G130" s="8" t="e">
        <f aca="true">IFERROR(MID(INDIRECT("'Ответы на форму (1)'!G"&amp;$L130,TRUE()),SEARCH("vk.com",INDIRECT("'Ответы на форму (1)'!G"&amp;$L130,TRUE())),LEN(INDIRECT("'Ответы на форму (1)'!G"&amp;$L130,TRUE()))),INDIRECT("'Ответы на форму (1)'!G"&amp;$L130,TRUE()))</f>
        <v>#REF!</v>
      </c>
      <c r="H130" s="7" t="e">
        <f aca="true">INDIRECT("'Ответы на форму (1)'!H"&amp;$L130,TRUE())</f>
        <v>#REF!</v>
      </c>
      <c r="I130" s="7" t="e">
        <f aca="true">INDIRECT("'Ответы на форму (1)'!I"&amp;$L130,TRUE())</f>
        <v>#REF!</v>
      </c>
      <c r="J130" s="7" t="e">
        <f aca="true">INDIRECT("'Ответы на форму (1)'!J"&amp;$L130,TRUE())</f>
        <v>#REF!</v>
      </c>
      <c r="K130" s="7" t="e">
        <f aca="false" t="array" ref="K130:K130">IF(COUNTIF(concat(TRIM('Список прошлого года'!$B$2:$B$200),TRIM('Список прошлого года'!$C$2:$C$200)),concat(TRIM(B130),TRIM(C130))) &gt; 0,IF(concat(TRIM(B130),TRIM(C130)) = "","","Да"),"Нет")</f>
        <v>#NAME?</v>
      </c>
      <c r="L130" s="5" t="n">
        <v>147</v>
      </c>
      <c r="M130" s="5" t="n">
        <v>2</v>
      </c>
      <c r="N130" s="7"/>
      <c r="O130" s="7" t="s">
        <v>15</v>
      </c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5.75" hidden="false" customHeight="false" outlineLevel="0" collapsed="false">
      <c r="A131" s="11" t="e">
        <f aca="true">INDIRECT("'Ответы на форму (1)'!A"&amp;$L131,TRUE())</f>
        <v>#REF!</v>
      </c>
      <c r="B131" s="0" t="e">
        <f aca="true">INDIRECT("'Ответы на форму (1)'!B"&amp;$L131,TRUE())</f>
        <v>#REF!</v>
      </c>
      <c r="C131" s="0" t="e">
        <f aca="true">INDIRECT("'Ответы на форму (1)'!C"&amp;$L131,TRUE())</f>
        <v>#REF!</v>
      </c>
      <c r="D131" s="0" t="e">
        <f aca="true">INDIRECT("'Ответы на форму (1)'!D"&amp;$L131,TRUE())</f>
        <v>#REF!</v>
      </c>
      <c r="E131" s="0" t="n">
        <f aca="false">IFERROR(__xludf.dummyfunction("iferror(VALUE(REGEXEXTRACT(TEXT(INDIRECT(""'Ответы на форму (1)'!E""&amp;$L131,TRUE),""####""),""[0-9]+"")),INDIRECT(""'Ответы на форму (1)'!E""&amp;$L131,TRUE))"),117)</f>
        <v>117</v>
      </c>
      <c r="F131" s="0" t="e">
        <f aca="true">INDIRECT("'Ответы на форму (1)'!F"&amp;$L131,TRUE())</f>
        <v>#REF!</v>
      </c>
      <c r="G131" s="12" t="e">
        <f aca="true">IFERROR(MID(INDIRECT("'Ответы на форму (1)'!G"&amp;$L131,TRUE()),SEARCH("vk.com",INDIRECT("'Ответы на форму (1)'!G"&amp;$L131,TRUE())),LEN(INDIRECT("'Ответы на форму (1)'!G"&amp;$L131,TRUE()))),INDIRECT("'Ответы на форму (1)'!G"&amp;$L131,TRUE()))</f>
        <v>#REF!</v>
      </c>
      <c r="H131" s="0" t="e">
        <f aca="true">INDIRECT("'Ответы на форму (1)'!H"&amp;$L131,TRUE())</f>
        <v>#REF!</v>
      </c>
      <c r="I131" s="0" t="e">
        <f aca="true">INDIRECT("'Ответы на форму (1)'!I"&amp;$L131,TRUE())</f>
        <v>#REF!</v>
      </c>
      <c r="J131" s="0" t="e">
        <f aca="true">INDIRECT("'Ответы на форму (1)'!J"&amp;$L131,TRUE())</f>
        <v>#REF!</v>
      </c>
      <c r="K131" s="0" t="e">
        <f aca="false" t="array" ref="K131:K131">IF(COUNTIF(concat(TRIM('Список прошлого года'!$B$2:$B$200),TRIM('Список прошлого года'!$C$2:$C$200)),concat(TRIM(B131),TRIM(C131))) &gt; 0,IF(concat(TRIM(B131),TRIM(C131)) = "","","Да"),"Нет")</f>
        <v>#NAME?</v>
      </c>
      <c r="L131" s="1" t="n">
        <v>148</v>
      </c>
      <c r="M131" s="1" t="n">
        <v>2</v>
      </c>
      <c r="O131" s="0" t="s">
        <v>40</v>
      </c>
    </row>
    <row r="132" customFormat="false" ht="15.75" hidden="false" customHeight="false" outlineLevel="0" collapsed="false">
      <c r="A132" s="11" t="e">
        <f aca="true">INDIRECT("'Ответы на форму (1)'!A"&amp;$L132,TRUE())</f>
        <v>#REF!</v>
      </c>
      <c r="B132" s="0" t="e">
        <f aca="true">INDIRECT("'Ответы на форму (1)'!B"&amp;$L132,TRUE())</f>
        <v>#REF!</v>
      </c>
      <c r="C132" s="0" t="e">
        <f aca="true">INDIRECT("'Ответы на форму (1)'!C"&amp;$L132,TRUE())</f>
        <v>#REF!</v>
      </c>
      <c r="D132" s="0" t="e">
        <f aca="true">INDIRECT("'Ответы на форму (1)'!D"&amp;$L132,TRUE())</f>
        <v>#REF!</v>
      </c>
      <c r="E132" s="0" t="n">
        <f aca="false">IFERROR(__xludf.dummyfunction("iferror(VALUE(REGEXEXTRACT(TEXT(INDIRECT(""'Ответы на форму (1)'!E""&amp;$L132,TRUE),""####""),""[0-9]+"")),INDIRECT(""'Ответы на форму (1)'!E""&amp;$L132,TRUE))"),117)</f>
        <v>117</v>
      </c>
      <c r="F132" s="0" t="e">
        <f aca="true">INDIRECT("'Ответы на форму (1)'!F"&amp;$L132,TRUE())</f>
        <v>#REF!</v>
      </c>
      <c r="G132" s="12" t="e">
        <f aca="true">IFERROR(MID(INDIRECT("'Ответы на форму (1)'!G"&amp;$L132,TRUE()),SEARCH("vk.com",INDIRECT("'Ответы на форму (1)'!G"&amp;$L132,TRUE())),LEN(INDIRECT("'Ответы на форму (1)'!G"&amp;$L132,TRUE()))),INDIRECT("'Ответы на форму (1)'!G"&amp;$L132,TRUE()))</f>
        <v>#REF!</v>
      </c>
      <c r="H132" s="0" t="e">
        <f aca="true">INDIRECT("'Ответы на форму (1)'!H"&amp;$L132,TRUE())</f>
        <v>#REF!</v>
      </c>
      <c r="I132" s="0" t="e">
        <f aca="true">INDIRECT("'Ответы на форму (1)'!I"&amp;$L132,TRUE())</f>
        <v>#REF!</v>
      </c>
      <c r="J132" s="0" t="e">
        <f aca="true">INDIRECT("'Ответы на форму (1)'!J"&amp;$L132,TRUE())</f>
        <v>#REF!</v>
      </c>
      <c r="K132" s="0" t="e">
        <f aca="false" t="array" ref="K132:K132">IF(COUNTIF(concat(TRIM('Список прошлого года'!$B$2:$B$200),TRIM('Список прошлого года'!$C$2:$C$200)),concat(TRIM(B132),TRIM(C132))) &gt; 0,IF(concat(TRIM(B132),TRIM(C132)) = "","","Да"),"Нет")</f>
        <v>#NAME?</v>
      </c>
      <c r="L132" s="1" t="n">
        <v>149</v>
      </c>
      <c r="M132" s="1" t="n">
        <v>2</v>
      </c>
      <c r="O132" s="0" t="s">
        <v>70</v>
      </c>
    </row>
    <row r="133" customFormat="false" ht="15.75" hidden="false" customHeight="false" outlineLevel="0" collapsed="false">
      <c r="A133" s="11" t="e">
        <f aca="true">INDIRECT("'Ответы на форму (1)'!A"&amp;$L133,TRUE())</f>
        <v>#REF!</v>
      </c>
      <c r="B133" s="0" t="e">
        <f aca="true">INDIRECT("'Ответы на форму (1)'!B"&amp;$L133,TRUE())</f>
        <v>#REF!</v>
      </c>
      <c r="C133" s="0" t="e">
        <f aca="true">INDIRECT("'Ответы на форму (1)'!C"&amp;$L133,TRUE())</f>
        <v>#REF!</v>
      </c>
      <c r="D133" s="0" t="e">
        <f aca="true">INDIRECT("'Ответы на форму (1)'!D"&amp;$L133,TRUE())</f>
        <v>#REF!</v>
      </c>
      <c r="E133" s="0" t="n">
        <f aca="false">IFERROR(__xludf.dummyfunction("iferror(VALUE(REGEXEXTRACT(TEXT(INDIRECT(""'Ответы на форму (1)'!E""&amp;$L133,TRUE),""####""),""[0-9]+"")),INDIRECT(""'Ответы на форму (1)'!E""&amp;$L133,TRUE))"),64)</f>
        <v>64</v>
      </c>
      <c r="F133" s="0" t="e">
        <f aca="true">INDIRECT("'Ответы на форму (1)'!F"&amp;$L133,TRUE())</f>
        <v>#REF!</v>
      </c>
      <c r="G133" s="12" t="e">
        <f aca="true">IFERROR(MID(INDIRECT("'Ответы на форму (1)'!G"&amp;$L133,TRUE()),SEARCH("vk.com",INDIRECT("'Ответы на форму (1)'!G"&amp;$L133,TRUE())),LEN(INDIRECT("'Ответы на форму (1)'!G"&amp;$L133,TRUE()))),INDIRECT("'Ответы на форму (1)'!G"&amp;$L133,TRUE()))</f>
        <v>#REF!</v>
      </c>
      <c r="H133" s="0" t="e">
        <f aca="true">INDIRECT("'Ответы на форму (1)'!H"&amp;$L133,TRUE())</f>
        <v>#REF!</v>
      </c>
      <c r="I133" s="0" t="e">
        <f aca="true">INDIRECT("'Ответы на форму (1)'!I"&amp;$L133,TRUE())</f>
        <v>#REF!</v>
      </c>
      <c r="J133" s="0" t="e">
        <f aca="true">INDIRECT("'Ответы на форму (1)'!J"&amp;$L133,TRUE())</f>
        <v>#REF!</v>
      </c>
      <c r="K133" s="0" t="e">
        <f aca="false" t="array" ref="K133:K133">IF(COUNTIF(concat(TRIM('Список прошлого года'!$B$2:$B$200),TRIM('Список прошлого года'!$C$2:$C$200)),concat(TRIM(B133),TRIM(C133))) &gt; 0,IF(concat(TRIM(B133),TRIM(C133)) = "","","Да"),"Нет")</f>
        <v>#NAME?</v>
      </c>
      <c r="L133" s="1" t="n">
        <v>151</v>
      </c>
      <c r="M133" s="1" t="n">
        <v>1</v>
      </c>
      <c r="O133" s="0" t="s">
        <v>50</v>
      </c>
    </row>
    <row r="134" customFormat="false" ht="15.75" hidden="false" customHeight="false" outlineLevel="0" collapsed="false">
      <c r="A134" s="11" t="e">
        <f aca="true">INDIRECT("'Ответы на форму (1)'!A"&amp;$L134,TRUE())</f>
        <v>#REF!</v>
      </c>
      <c r="B134" s="0" t="e">
        <f aca="true">INDIRECT("'Ответы на форму (1)'!B"&amp;$L134,TRUE())</f>
        <v>#REF!</v>
      </c>
      <c r="C134" s="0" t="e">
        <f aca="true">INDIRECT("'Ответы на форму (1)'!C"&amp;$L134,TRUE())</f>
        <v>#REF!</v>
      </c>
      <c r="D134" s="0" t="e">
        <f aca="true">INDIRECT("'Ответы на форму (1)'!D"&amp;$L134,TRUE())</f>
        <v>#REF!</v>
      </c>
      <c r="E134" s="0" t="n">
        <f aca="false">IFERROR(__xludf.dummyfunction("iferror(VALUE(REGEXEXTRACT(TEXT(INDIRECT(""'Ответы на форму (1)'!E""&amp;$L134,TRUE),""####""),""[0-9]+"")),INDIRECT(""'Ответы на форму (1)'!E""&amp;$L134,TRUE))"),123)</f>
        <v>123</v>
      </c>
      <c r="F134" s="0" t="e">
        <f aca="true">INDIRECT("'Ответы на форму (1)'!F"&amp;$L134,TRUE())</f>
        <v>#REF!</v>
      </c>
      <c r="G134" s="12" t="e">
        <f aca="true">IFERROR(MID(INDIRECT("'Ответы на форму (1)'!G"&amp;$L134,TRUE()),SEARCH("vk.com",INDIRECT("'Ответы на форму (1)'!G"&amp;$L134,TRUE())),LEN(INDIRECT("'Ответы на форму (1)'!G"&amp;$L134,TRUE()))),INDIRECT("'Ответы на форму (1)'!G"&amp;$L134,TRUE()))</f>
        <v>#REF!</v>
      </c>
      <c r="H134" s="0" t="e">
        <f aca="true">INDIRECT("'Ответы на форму (1)'!H"&amp;$L134,TRUE())</f>
        <v>#REF!</v>
      </c>
      <c r="I134" s="0" t="e">
        <f aca="true">INDIRECT("'Ответы на форму (1)'!I"&amp;$L134,TRUE())</f>
        <v>#REF!</v>
      </c>
      <c r="J134" s="0" t="e">
        <f aca="true">INDIRECT("'Ответы на форму (1)'!J"&amp;$L134,TRUE())</f>
        <v>#REF!</v>
      </c>
      <c r="K134" s="0" t="e">
        <f aca="false" t="array" ref="K134:K134">IF(COUNTIF(concat(TRIM('Список прошлого года'!$B$2:$B$200),TRIM('Список прошлого года'!$C$2:$C$200)),concat(TRIM(B134),TRIM(C134))) &gt; 0,IF(concat(TRIM(B134),TRIM(C134)) = "","","Да"),"Нет")</f>
        <v>#NAME?</v>
      </c>
      <c r="L134" s="1" t="n">
        <v>152</v>
      </c>
      <c r="M134" s="1" t="n">
        <v>2</v>
      </c>
      <c r="O134" s="0" t="s">
        <v>40</v>
      </c>
    </row>
    <row r="135" customFormat="false" ht="15.75" hidden="false" customHeight="false" outlineLevel="0" collapsed="false">
      <c r="A135" s="6" t="e">
        <f aca="true">INDIRECT("'Ответы на форму (1)'!A"&amp;$L135,TRUE())</f>
        <v>#REF!</v>
      </c>
      <c r="B135" s="7" t="e">
        <f aca="true">INDIRECT("'Ответы на форму (1)'!B"&amp;$L135,TRUE())</f>
        <v>#REF!</v>
      </c>
      <c r="C135" s="7" t="e">
        <f aca="true">INDIRECT("'Ответы на форму (1)'!C"&amp;$L135,TRUE())</f>
        <v>#REF!</v>
      </c>
      <c r="D135" s="7" t="e">
        <f aca="true">INDIRECT("'Ответы на форму (1)'!D"&amp;$L135,TRUE())</f>
        <v>#REF!</v>
      </c>
      <c r="E135" s="7" t="n">
        <f aca="false">IFERROR(__xludf.dummyfunction("iferror(VALUE(REGEXEXTRACT(TEXT(INDIRECT(""'Ответы на форму (1)'!E""&amp;$L135,TRUE),""####""),""[0-9]+"")),INDIRECT(""'Ответы на форму (1)'!E""&amp;$L135,TRUE))"),117)</f>
        <v>117</v>
      </c>
      <c r="F135" s="7" t="e">
        <f aca="true">INDIRECT("'Ответы на форму (1)'!F"&amp;$L135,TRUE())</f>
        <v>#REF!</v>
      </c>
      <c r="G135" s="8" t="e">
        <f aca="true">IFERROR(MID(INDIRECT("'Ответы на форму (1)'!G"&amp;$L135,TRUE()),SEARCH("vk.com",INDIRECT("'Ответы на форму (1)'!G"&amp;$L135,TRUE())),LEN(INDIRECT("'Ответы на форму (1)'!G"&amp;$L135,TRUE()))),INDIRECT("'Ответы на форму (1)'!G"&amp;$L135,TRUE()))</f>
        <v>#REF!</v>
      </c>
      <c r="H135" s="7" t="e">
        <f aca="true">INDIRECT("'Ответы на форму (1)'!H"&amp;$L135,TRUE())</f>
        <v>#REF!</v>
      </c>
      <c r="I135" s="7" t="e">
        <f aca="true">INDIRECT("'Ответы на форму (1)'!I"&amp;$L135,TRUE())</f>
        <v>#REF!</v>
      </c>
      <c r="J135" s="7" t="e">
        <f aca="true">INDIRECT("'Ответы на форму (1)'!J"&amp;$L135,TRUE())</f>
        <v>#REF!</v>
      </c>
      <c r="K135" s="7" t="e">
        <f aca="false" t="array" ref="K135:K135">IF(COUNTIF(concat(TRIM('Список прошлого года'!$B$2:$B$200),TRIM('Список прошлого года'!$C$2:$C$200)),concat(TRIM(B135),TRIM(C135))) &gt; 0,IF(concat(TRIM(B135),TRIM(C135)) = "","","Да"),"Нет")</f>
        <v>#NAME?</v>
      </c>
      <c r="L135" s="5" t="n">
        <v>153</v>
      </c>
      <c r="M135" s="5" t="n">
        <v>2</v>
      </c>
      <c r="N135" s="7"/>
      <c r="O135" s="7" t="s">
        <v>70</v>
      </c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5.75" hidden="false" customHeight="false" outlineLevel="0" collapsed="false">
      <c r="A136" s="11" t="e">
        <f aca="true">INDIRECT("'Ответы на форму (1)'!A"&amp;$L136,TRUE())</f>
        <v>#REF!</v>
      </c>
      <c r="B136" s="0" t="e">
        <f aca="true">INDIRECT("'Ответы на форму (1)'!B"&amp;$L136,TRUE())</f>
        <v>#REF!</v>
      </c>
      <c r="C136" s="0" t="e">
        <f aca="true">INDIRECT("'Ответы на форму (1)'!C"&amp;$L136,TRUE())</f>
        <v>#REF!</v>
      </c>
      <c r="D136" s="0" t="e">
        <f aca="true">INDIRECT("'Ответы на форму (1)'!D"&amp;$L136,TRUE())</f>
        <v>#REF!</v>
      </c>
      <c r="E136" s="0" t="n">
        <f aca="false">IFERROR(__xludf.dummyfunction("iferror(VALUE(REGEXEXTRACT(TEXT(INDIRECT(""'Ответы на форму (1)'!E""&amp;$L136,TRUE),""####""),""[0-9]+"")),INDIRECT(""'Ответы на форму (1)'!E""&amp;$L136,TRUE))"),64)</f>
        <v>64</v>
      </c>
      <c r="F136" s="0" t="e">
        <f aca="true">INDIRECT("'Ответы на форму (1)'!F"&amp;$L136,TRUE())</f>
        <v>#REF!</v>
      </c>
      <c r="G136" s="12" t="e">
        <f aca="true">IFERROR(MID(INDIRECT("'Ответы на форму (1)'!G"&amp;$L136,TRUE()),SEARCH("vk.com",INDIRECT("'Ответы на форму (1)'!G"&amp;$L136,TRUE())),LEN(INDIRECT("'Ответы на форму (1)'!G"&amp;$L136,TRUE()))),INDIRECT("'Ответы на форму (1)'!G"&amp;$L136,TRUE()))</f>
        <v>#REF!</v>
      </c>
      <c r="H136" s="0" t="e">
        <f aca="true">INDIRECT("'Ответы на форму (1)'!H"&amp;$L136,TRUE())</f>
        <v>#REF!</v>
      </c>
      <c r="I136" s="0" t="e">
        <f aca="true">INDIRECT("'Ответы на форму (1)'!I"&amp;$L136,TRUE())</f>
        <v>#REF!</v>
      </c>
      <c r="J136" s="0" t="e">
        <f aca="true">INDIRECT("'Ответы на форму (1)'!J"&amp;$L136,TRUE())</f>
        <v>#REF!</v>
      </c>
      <c r="K136" s="0" t="e">
        <f aca="false" t="array" ref="K136:K136">IF(COUNTIF(concat(TRIM('Список прошлого года'!$B$2:$B$200),TRIM('Список прошлого года'!$C$2:$C$200)),concat(TRIM(B136),TRIM(C136))) &gt; 0,IF(concat(TRIM(B136),TRIM(C136)) = "","","Да"),"Нет")</f>
        <v>#NAME?</v>
      </c>
      <c r="L136" s="1" t="n">
        <v>156</v>
      </c>
      <c r="M136" s="1" t="n">
        <v>2</v>
      </c>
      <c r="O136" s="0" t="s">
        <v>70</v>
      </c>
    </row>
    <row r="137" customFormat="false" ht="15.75" hidden="false" customHeight="false" outlineLevel="0" collapsed="false">
      <c r="A137" s="6" t="e">
        <f aca="true">INDIRECT("'Ответы на форму (1)'!A"&amp;$L137,TRUE())</f>
        <v>#REF!</v>
      </c>
      <c r="B137" s="7" t="e">
        <f aca="true">INDIRECT("'Ответы на форму (1)'!B"&amp;$L137,TRUE())</f>
        <v>#REF!</v>
      </c>
      <c r="C137" s="7" t="e">
        <f aca="true">INDIRECT("'Ответы на форму (1)'!C"&amp;$L137,TRUE())</f>
        <v>#REF!</v>
      </c>
      <c r="D137" s="7" t="e">
        <f aca="true">INDIRECT("'Ответы на форму (1)'!D"&amp;$L137,TRUE())</f>
        <v>#REF!</v>
      </c>
      <c r="E137" s="7" t="n">
        <f aca="false">IFERROR(__xludf.dummyfunction("iferror(VALUE(REGEXEXTRACT(TEXT(INDIRECT(""'Ответы на форму (1)'!E""&amp;$L137,TRUE),""####""),""[0-9]+"")),INDIRECT(""'Ответы на форму (1)'!E""&amp;$L137,TRUE))"),19)</f>
        <v>19</v>
      </c>
      <c r="F137" s="7" t="e">
        <f aca="true">INDIRECT("'Ответы на форму (1)'!F"&amp;$L137,TRUE())</f>
        <v>#REF!</v>
      </c>
      <c r="G137" s="8" t="e">
        <f aca="true">IFERROR(MID(INDIRECT("'Ответы на форму (1)'!G"&amp;$L137,TRUE()),SEARCH("vk.com",INDIRECT("'Ответы на форму (1)'!G"&amp;$L137,TRUE())),LEN(INDIRECT("'Ответы на форму (1)'!G"&amp;$L137,TRUE()))),INDIRECT("'Ответы на форму (1)'!G"&amp;$L137,TRUE()))</f>
        <v>#REF!</v>
      </c>
      <c r="H137" s="7" t="e">
        <f aca="true">INDIRECT("'Ответы на форму (1)'!H"&amp;$L137,TRUE())</f>
        <v>#REF!</v>
      </c>
      <c r="I137" s="7" t="e">
        <f aca="true">INDIRECT("'Ответы на форму (1)'!I"&amp;$L137,TRUE())</f>
        <v>#REF!</v>
      </c>
      <c r="J137" s="7" t="e">
        <f aca="true">INDIRECT("'Ответы на форму (1)'!J"&amp;$L137,TRUE())</f>
        <v>#REF!</v>
      </c>
      <c r="K137" s="7" t="e">
        <f aca="false" t="array" ref="K137:K137">IF(COUNTIF(concat(TRIM('Список прошлого года'!$B$2:$B$200),TRIM('Список прошлого года'!$C$2:$C$200)),concat(TRIM(B137),TRIM(C137))) &gt; 0,IF(concat(TRIM(B137),TRIM(C137)) = "","","Да"),"Нет")</f>
        <v>#NAME?</v>
      </c>
      <c r="L137" s="5" t="n">
        <v>157</v>
      </c>
      <c r="M137" s="5" t="n">
        <v>2</v>
      </c>
      <c r="N137" s="7"/>
      <c r="O137" s="7" t="s">
        <v>40</v>
      </c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5.75" hidden="false" customHeight="false" outlineLevel="0" collapsed="false">
      <c r="A138" s="11" t="e">
        <f aca="true">INDIRECT("'Ответы на форму (1)'!A"&amp;$L138,TRUE())</f>
        <v>#REF!</v>
      </c>
      <c r="B138" s="0" t="e">
        <f aca="true">INDIRECT("'Ответы на форму (1)'!B"&amp;$L138,TRUE())</f>
        <v>#REF!</v>
      </c>
      <c r="C138" s="0" t="e">
        <f aca="true">INDIRECT("'Ответы на форму (1)'!C"&amp;$L138,TRUE())</f>
        <v>#REF!</v>
      </c>
      <c r="D138" s="0" t="e">
        <f aca="true">INDIRECT("'Ответы на форму (1)'!D"&amp;$L138,TRUE())</f>
        <v>#REF!</v>
      </c>
      <c r="E138" s="0" t="n">
        <f aca="false">IFERROR(__xludf.dummyfunction("iferror(VALUE(REGEXEXTRACT(TEXT(INDIRECT(""'Ответы на форму (1)'!E""&amp;$L138,TRUE),""####""),""[0-9]+"")),INDIRECT(""'Ответы на форму (1)'!E""&amp;$L138,TRUE))"),146)</f>
        <v>146</v>
      </c>
      <c r="F138" s="0" t="e">
        <f aca="true">INDIRECT("'Ответы на форму (1)'!F"&amp;$L138,TRUE())</f>
        <v>#REF!</v>
      </c>
      <c r="G138" s="12" t="e">
        <f aca="true">IFERROR(MID(INDIRECT("'Ответы на форму (1)'!G"&amp;$L138,TRUE()),SEARCH("vk.com",INDIRECT("'Ответы на форму (1)'!G"&amp;$L138,TRUE())),LEN(INDIRECT("'Ответы на форму (1)'!G"&amp;$L138,TRUE()))),INDIRECT("'Ответы на форму (1)'!G"&amp;$L138,TRUE()))</f>
        <v>#REF!</v>
      </c>
      <c r="H138" s="0" t="e">
        <f aca="true">INDIRECT("'Ответы на форму (1)'!H"&amp;$L138,TRUE())</f>
        <v>#REF!</v>
      </c>
      <c r="I138" s="0" t="e">
        <f aca="true">INDIRECT("'Ответы на форму (1)'!I"&amp;$L138,TRUE())</f>
        <v>#REF!</v>
      </c>
      <c r="J138" s="0" t="e">
        <f aca="true">INDIRECT("'Ответы на форму (1)'!J"&amp;$L138,TRUE())</f>
        <v>#REF!</v>
      </c>
      <c r="K138" s="0" t="e">
        <f aca="false" t="array" ref="K138:K138">IF(COUNTIF(concat(TRIM('Список прошлого года'!$B$2:$B$200),TRIM('Список прошлого года'!$C$2:$C$200)),concat(TRIM(B138),TRIM(C138))) &gt; 0,IF(concat(TRIM(B138),TRIM(C138)) = "","","Да"),"Нет")</f>
        <v>#NAME?</v>
      </c>
      <c r="L138" s="1" t="n">
        <v>158</v>
      </c>
      <c r="M138" s="1" t="n">
        <v>2</v>
      </c>
      <c r="O138" s="0" t="s">
        <v>148</v>
      </c>
    </row>
    <row r="139" customFormat="false" ht="15.75" hidden="false" customHeight="false" outlineLevel="0" collapsed="false">
      <c r="A139" s="11" t="e">
        <f aca="true">INDIRECT("'Ответы на форму (1)'!A"&amp;$L139,TRUE())</f>
        <v>#REF!</v>
      </c>
      <c r="B139" s="0" t="e">
        <f aca="true">INDIRECT("'Ответы на форму (1)'!B"&amp;$L139,TRUE())</f>
        <v>#REF!</v>
      </c>
      <c r="C139" s="0" t="e">
        <f aca="true">INDIRECT("'Ответы на форму (1)'!C"&amp;$L139,TRUE())</f>
        <v>#REF!</v>
      </c>
      <c r="D139" s="0" t="e">
        <f aca="true">INDIRECT("'Ответы на форму (1)'!D"&amp;$L139,TRUE())</f>
        <v>#REF!</v>
      </c>
      <c r="E139" s="0" t="n">
        <f aca="false">IFERROR(__xludf.dummyfunction("iferror(VALUE(REGEXEXTRACT(TEXT(INDIRECT(""'Ответы на форму (1)'!E""&amp;$L139,TRUE),""####""),""[0-9]+"")),INDIRECT(""'Ответы на форму (1)'!E""&amp;$L139,TRUE))"),117)</f>
        <v>117</v>
      </c>
      <c r="F139" s="0" t="e">
        <f aca="true">INDIRECT("'Ответы на форму (1)'!F"&amp;$L139,TRUE())</f>
        <v>#REF!</v>
      </c>
      <c r="G139" s="12" t="e">
        <f aca="true">IFERROR(MID(INDIRECT("'Ответы на форму (1)'!G"&amp;$L139,TRUE()),SEARCH("vk.com",INDIRECT("'Ответы на форму (1)'!G"&amp;$L139,TRUE())),LEN(INDIRECT("'Ответы на форму (1)'!G"&amp;$L139,TRUE()))),INDIRECT("'Ответы на форму (1)'!G"&amp;$L139,TRUE()))</f>
        <v>#REF!</v>
      </c>
      <c r="H139" s="0" t="e">
        <f aca="true">INDIRECT("'Ответы на форму (1)'!H"&amp;$L139,TRUE())</f>
        <v>#REF!</v>
      </c>
      <c r="I139" s="0" t="e">
        <f aca="true">INDIRECT("'Ответы на форму (1)'!I"&amp;$L139,TRUE())</f>
        <v>#REF!</v>
      </c>
      <c r="J139" s="0" t="e">
        <f aca="true">INDIRECT("'Ответы на форму (1)'!J"&amp;$L139,TRUE())</f>
        <v>#REF!</v>
      </c>
      <c r="K139" s="0" t="e">
        <f aca="false" t="array" ref="K139:K139">IF(COUNTIF(concat(TRIM('Список прошлого года'!$B$2:$B$200),TRIM('Список прошлого года'!$C$2:$C$200)),concat(TRIM(B139),TRIM(C139))) &gt; 0,IF(concat(TRIM(B139),TRIM(C139)) = "","","Да"),"Нет")</f>
        <v>#NAME?</v>
      </c>
      <c r="L139" s="1" t="n">
        <v>159</v>
      </c>
      <c r="M139" s="1" t="n">
        <v>-1</v>
      </c>
      <c r="O139" s="0" t="s">
        <v>22</v>
      </c>
    </row>
    <row r="140" customFormat="false" ht="15.75" hidden="false" customHeight="false" outlineLevel="0" collapsed="false">
      <c r="A140" s="6" t="e">
        <f aca="true">INDIRECT("'Ответы на форму (1)'!A"&amp;$L140,TRUE())</f>
        <v>#REF!</v>
      </c>
      <c r="B140" s="7" t="e">
        <f aca="true">INDIRECT("'Ответы на форму (1)'!B"&amp;$L140,TRUE())</f>
        <v>#REF!</v>
      </c>
      <c r="C140" s="7" t="e">
        <f aca="true">INDIRECT("'Ответы на форму (1)'!C"&amp;$L140,TRUE())</f>
        <v>#REF!</v>
      </c>
      <c r="D140" s="7" t="e">
        <f aca="true">INDIRECT("'Ответы на форму (1)'!D"&amp;$L140,TRUE())</f>
        <v>#REF!</v>
      </c>
      <c r="E140" s="7" t="n">
        <f aca="false">IFERROR(__xludf.dummyfunction("iferror(VALUE(REGEXEXTRACT(TEXT(INDIRECT(""'Ответы на форму (1)'!E""&amp;$L140,TRUE),""####""),""[0-9]+"")),INDIRECT(""'Ответы на форму (1)'!E""&amp;$L140,TRUE))"),64)</f>
        <v>64</v>
      </c>
      <c r="F140" s="7" t="e">
        <f aca="true">INDIRECT("'Ответы на форму (1)'!F"&amp;$L140,TRUE())</f>
        <v>#REF!</v>
      </c>
      <c r="G140" s="8" t="e">
        <f aca="true">IFERROR(MID(INDIRECT("'Ответы на форму (1)'!G"&amp;$L140,TRUE()),SEARCH("vk.com",INDIRECT("'Ответы на форму (1)'!G"&amp;$L140,TRUE())),LEN(INDIRECT("'Ответы на форму (1)'!G"&amp;$L140,TRUE()))),INDIRECT("'Ответы на форму (1)'!G"&amp;$L140,TRUE()))</f>
        <v>#REF!</v>
      </c>
      <c r="H140" s="7" t="e">
        <f aca="true">INDIRECT("'Ответы на форму (1)'!H"&amp;$L140,TRUE())</f>
        <v>#REF!</v>
      </c>
      <c r="I140" s="7" t="e">
        <f aca="true">INDIRECT("'Ответы на форму (1)'!I"&amp;$L140,TRUE())</f>
        <v>#REF!</v>
      </c>
      <c r="J140" s="7" t="e">
        <f aca="true">INDIRECT("'Ответы на форму (1)'!J"&amp;$L140,TRUE())</f>
        <v>#REF!</v>
      </c>
      <c r="K140" s="7" t="e">
        <f aca="false" t="array" ref="K140:K140">IF(COUNTIF(concat(TRIM('Список прошлого года'!$B$2:$B$200),TRIM('Список прошлого года'!$C$2:$C$200)),concat(TRIM(B140),TRIM(C140))) &gt; 0,IF(concat(TRIM(B140),TRIM(C140)) = "","","Да"),"Нет")</f>
        <v>#NAME?</v>
      </c>
      <c r="L140" s="5" t="n">
        <v>160</v>
      </c>
      <c r="M140" s="5" t="n">
        <v>2</v>
      </c>
      <c r="N140" s="7"/>
      <c r="O140" s="7" t="s">
        <v>70</v>
      </c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5.75" hidden="false" customHeight="false" outlineLevel="0" collapsed="false">
      <c r="A141" s="6" t="e">
        <f aca="true">INDIRECT("'Ответы на форму (1)'!A"&amp;$L141,TRUE())</f>
        <v>#REF!</v>
      </c>
      <c r="B141" s="7" t="e">
        <f aca="true">INDIRECT("'Ответы на форму (1)'!B"&amp;$L141,TRUE())</f>
        <v>#REF!</v>
      </c>
      <c r="C141" s="7" t="e">
        <f aca="true">INDIRECT("'Ответы на форму (1)'!C"&amp;$L141,TRUE())</f>
        <v>#REF!</v>
      </c>
      <c r="D141" s="7" t="e">
        <f aca="true">INDIRECT("'Ответы на форму (1)'!D"&amp;$L141,TRUE())</f>
        <v>#REF!</v>
      </c>
      <c r="E141" s="7" t="n">
        <f aca="false">IFERROR(__xludf.dummyfunction("iferror(VALUE(REGEXEXTRACT(TEXT(INDIRECT(""'Ответы на форму (1)'!E""&amp;$L141,TRUE),""####""),""[0-9]+"")),INDIRECT(""'Ответы на форму (1)'!E""&amp;$L141,TRUE))"),64)</f>
        <v>64</v>
      </c>
      <c r="F141" s="7" t="e">
        <f aca="true">INDIRECT("'Ответы на форму (1)'!F"&amp;$L141,TRUE())</f>
        <v>#REF!</v>
      </c>
      <c r="G141" s="8" t="e">
        <f aca="true">IFERROR(MID(INDIRECT("'Ответы на форму (1)'!G"&amp;$L141,TRUE()),SEARCH("vk.com",INDIRECT("'Ответы на форму (1)'!G"&amp;$L141,TRUE())),LEN(INDIRECT("'Ответы на форму (1)'!G"&amp;$L141,TRUE()))),INDIRECT("'Ответы на форму (1)'!G"&amp;$L141,TRUE()))</f>
        <v>#REF!</v>
      </c>
      <c r="H141" s="7" t="e">
        <f aca="true">INDIRECT("'Ответы на форму (1)'!H"&amp;$L141,TRUE())</f>
        <v>#REF!</v>
      </c>
      <c r="I141" s="7" t="e">
        <f aca="true">INDIRECT("'Ответы на форму (1)'!I"&amp;$L141,TRUE())</f>
        <v>#REF!</v>
      </c>
      <c r="J141" s="7" t="e">
        <f aca="true">INDIRECT("'Ответы на форму (1)'!J"&amp;$L141,TRUE())</f>
        <v>#REF!</v>
      </c>
      <c r="K141" s="7" t="e">
        <f aca="false" t="array" ref="K141:K141">IF(COUNTIF(concat(TRIM('Список прошлого года'!$B$2:$B$200),TRIM('Список прошлого года'!$C$2:$C$200)),concat(TRIM(B141),TRIM(C141))) &gt; 0,IF(concat(TRIM(B141),TRIM(C141)) = "","","Да"),"Нет")</f>
        <v>#NAME?</v>
      </c>
      <c r="L141" s="5" t="n">
        <v>161</v>
      </c>
      <c r="M141" s="5" t="n">
        <v>2</v>
      </c>
      <c r="N141" s="7"/>
      <c r="O141" s="7" t="s">
        <v>40</v>
      </c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5.75" hidden="false" customHeight="false" outlineLevel="0" collapsed="false">
      <c r="A142" s="11" t="e">
        <f aca="true">INDIRECT("'Ответы на форму (1)'!A"&amp;$L142,TRUE())</f>
        <v>#REF!</v>
      </c>
      <c r="B142" s="0" t="e">
        <f aca="true">INDIRECT("'Ответы на форму (1)'!B"&amp;$L142,TRUE())</f>
        <v>#REF!</v>
      </c>
      <c r="C142" s="0" t="e">
        <f aca="true">INDIRECT("'Ответы на форму (1)'!C"&amp;$L142,TRUE())</f>
        <v>#REF!</v>
      </c>
      <c r="D142" s="0" t="e">
        <f aca="true">INDIRECT("'Ответы на форму (1)'!D"&amp;$L142,TRUE())</f>
        <v>#REF!</v>
      </c>
      <c r="E142" s="0" t="n">
        <f aca="false">IFERROR(__xludf.dummyfunction("iferror(VALUE(REGEXEXTRACT(TEXT(INDIRECT(""'Ответы на форму (1)'!E""&amp;$L142,TRUE),""####""),""[0-9]+"")),INDIRECT(""'Ответы на форму (1)'!E""&amp;$L142,TRUE))"),166)</f>
        <v>166</v>
      </c>
      <c r="F142" s="0" t="e">
        <f aca="true">INDIRECT("'Ответы на форму (1)'!F"&amp;$L142,TRUE())</f>
        <v>#REF!</v>
      </c>
      <c r="G142" s="12" t="e">
        <f aca="true">IFERROR(MID(INDIRECT("'Ответы на форму (1)'!G"&amp;$L142,TRUE()),SEARCH("vk.com",INDIRECT("'Ответы на форму (1)'!G"&amp;$L142,TRUE())),LEN(INDIRECT("'Ответы на форму (1)'!G"&amp;$L142,TRUE()))),INDIRECT("'Ответы на форму (1)'!G"&amp;$L142,TRUE()))</f>
        <v>#REF!</v>
      </c>
      <c r="H142" s="0" t="e">
        <f aca="true">INDIRECT("'Ответы на форму (1)'!H"&amp;$L142,TRUE())</f>
        <v>#REF!</v>
      </c>
      <c r="I142" s="0" t="e">
        <f aca="true">INDIRECT("'Ответы на форму (1)'!I"&amp;$L142,TRUE())</f>
        <v>#REF!</v>
      </c>
      <c r="J142" s="0" t="e">
        <f aca="true">INDIRECT("'Ответы на форму (1)'!J"&amp;$L142,TRUE())</f>
        <v>#REF!</v>
      </c>
      <c r="K142" s="0" t="e">
        <f aca="false" t="array" ref="K142:K142">IF(COUNTIF(concat(TRIM('Список прошлого года'!$B$2:$B$200),TRIM('Список прошлого года'!$C$2:$C$200)),concat(TRIM(B142),TRIM(C142))) &gt; 0,IF(concat(TRIM(B142),TRIM(C142)) = "","","Да"),"Нет")</f>
        <v>#NAME?</v>
      </c>
      <c r="L142" s="1" t="n">
        <v>162</v>
      </c>
      <c r="M142" s="1" t="n">
        <v>2</v>
      </c>
      <c r="O142" s="0" t="s">
        <v>50</v>
      </c>
    </row>
    <row r="143" customFormat="false" ht="15.75" hidden="false" customHeight="false" outlineLevel="0" collapsed="false">
      <c r="A143" s="11" t="e">
        <f aca="true">INDIRECT("'Ответы на форму (1)'!A"&amp;$L143,TRUE())</f>
        <v>#REF!</v>
      </c>
      <c r="B143" s="0" t="e">
        <f aca="true">INDIRECT("'Ответы на форму (1)'!B"&amp;$L143,TRUE())</f>
        <v>#REF!</v>
      </c>
      <c r="C143" s="0" t="e">
        <f aca="true">INDIRECT("'Ответы на форму (1)'!C"&amp;$L143,TRUE())</f>
        <v>#REF!</v>
      </c>
      <c r="D143" s="0" t="e">
        <f aca="true">INDIRECT("'Ответы на форму (1)'!D"&amp;$L143,TRUE())</f>
        <v>#REF!</v>
      </c>
      <c r="E143" s="0" t="n">
        <f aca="false">IFERROR(__xludf.dummyfunction("iferror(VALUE(REGEXEXTRACT(TEXT(INDIRECT(""'Ответы на форму (1)'!E""&amp;$L143,TRUE),""####""),""[0-9]+"")),INDIRECT(""'Ответы на форму (1)'!E""&amp;$L143,TRUE))"),117)</f>
        <v>117</v>
      </c>
      <c r="F143" s="0" t="e">
        <f aca="true">INDIRECT("'Ответы на форму (1)'!F"&amp;$L143,TRUE())</f>
        <v>#REF!</v>
      </c>
      <c r="G143" s="12" t="e">
        <f aca="true">IFERROR(MID(INDIRECT("'Ответы на форму (1)'!G"&amp;$L143,TRUE()),SEARCH("vk.com",INDIRECT("'Ответы на форму (1)'!G"&amp;$L143,TRUE())),LEN(INDIRECT("'Ответы на форму (1)'!G"&amp;$L143,TRUE()))),INDIRECT("'Ответы на форму (1)'!G"&amp;$L143,TRUE()))</f>
        <v>#REF!</v>
      </c>
      <c r="H143" s="0" t="e">
        <f aca="true">INDIRECT("'Ответы на форму (1)'!H"&amp;$L143,TRUE())</f>
        <v>#REF!</v>
      </c>
      <c r="I143" s="0" t="e">
        <f aca="true">INDIRECT("'Ответы на форму (1)'!I"&amp;$L143,TRUE())</f>
        <v>#REF!</v>
      </c>
      <c r="J143" s="0" t="e">
        <f aca="true">INDIRECT("'Ответы на форму (1)'!J"&amp;$L143,TRUE())</f>
        <v>#REF!</v>
      </c>
      <c r="K143" s="0" t="e">
        <f aca="false" t="array" ref="K143:K143">IF(COUNTIF(concat(TRIM('Список прошлого года'!$B$2:$B$200),TRIM('Список прошлого года'!$C$2:$C$200)),concat(TRIM(B143),TRIM(C143))) &gt; 0,IF(concat(TRIM(B143),TRIM(C143)) = "","","Да"),"Нет")</f>
        <v>#NAME?</v>
      </c>
      <c r="L143" s="1" t="n">
        <v>163</v>
      </c>
      <c r="M143" s="1" t="n">
        <v>2</v>
      </c>
      <c r="O143" s="0" t="s">
        <v>40</v>
      </c>
    </row>
    <row r="144" customFormat="false" ht="15.75" hidden="false" customHeight="false" outlineLevel="0" collapsed="false">
      <c r="A144" s="11" t="e">
        <f aca="true">INDIRECT("'Ответы на форму (1)'!A"&amp;$L144,TRUE())</f>
        <v>#REF!</v>
      </c>
      <c r="B144" s="0" t="e">
        <f aca="true">INDIRECT("'Ответы на форму (1)'!B"&amp;$L144,TRUE())</f>
        <v>#REF!</v>
      </c>
      <c r="C144" s="0" t="e">
        <f aca="true">INDIRECT("'Ответы на форму (1)'!C"&amp;$L144,TRUE())</f>
        <v>#REF!</v>
      </c>
      <c r="D144" s="0" t="e">
        <f aca="true">INDIRECT("'Ответы на форму (1)'!D"&amp;$L144,TRUE())</f>
        <v>#REF!</v>
      </c>
      <c r="E144" s="0" t="n">
        <f aca="false">IFERROR(__xludf.dummyfunction("iferror(VALUE(REGEXEXTRACT(TEXT(INDIRECT(""'Ответы на форму (1)'!E""&amp;$L144,TRUE),""####""),""[0-9]+"")),INDIRECT(""'Ответы на форму (1)'!E""&amp;$L144,TRUE))"),117)</f>
        <v>117</v>
      </c>
      <c r="F144" s="0" t="e">
        <f aca="true">INDIRECT("'Ответы на форму (1)'!F"&amp;$L144,TRUE())</f>
        <v>#REF!</v>
      </c>
      <c r="G144" s="12" t="e">
        <f aca="true">IFERROR(MID(INDIRECT("'Ответы на форму (1)'!G"&amp;$L144,TRUE()),SEARCH("vk.com",INDIRECT("'Ответы на форму (1)'!G"&amp;$L144,TRUE())),LEN(INDIRECT("'Ответы на форму (1)'!G"&amp;$L144,TRUE()))),INDIRECT("'Ответы на форму (1)'!G"&amp;$L144,TRUE()))</f>
        <v>#REF!</v>
      </c>
      <c r="H144" s="0" t="e">
        <f aca="true">INDIRECT("'Ответы на форму (1)'!H"&amp;$L144,TRUE())</f>
        <v>#REF!</v>
      </c>
      <c r="I144" s="0" t="e">
        <f aca="true">INDIRECT("'Ответы на форму (1)'!I"&amp;$L144,TRUE())</f>
        <v>#REF!</v>
      </c>
      <c r="J144" s="0" t="e">
        <f aca="true">INDIRECT("'Ответы на форму (1)'!J"&amp;$L144,TRUE())</f>
        <v>#REF!</v>
      </c>
      <c r="K144" s="0" t="e">
        <f aca="false" t="array" ref="K144:K144">IF(COUNTIF(concat(TRIM('Список прошлого года'!$B$2:$B$200),TRIM('Список прошлого года'!$C$2:$C$200)),concat(TRIM(B144),TRIM(C144))) &gt; 0,IF(concat(TRIM(B144),TRIM(C144)) = "","","Да"),"Нет")</f>
        <v>#NAME?</v>
      </c>
      <c r="L144" s="1" t="n">
        <v>166</v>
      </c>
      <c r="M144" s="1" t="n">
        <v>2</v>
      </c>
      <c r="O144" s="0" t="s">
        <v>148</v>
      </c>
    </row>
    <row r="145" customFormat="false" ht="15.75" hidden="false" customHeight="false" outlineLevel="0" collapsed="false">
      <c r="A145" s="6" t="e">
        <f aca="true">INDIRECT("'Ответы на форму (1)'!A"&amp;$L145,TRUE())</f>
        <v>#REF!</v>
      </c>
      <c r="B145" s="7" t="e">
        <f aca="true">INDIRECT("'Ответы на форму (1)'!B"&amp;$L145,TRUE())</f>
        <v>#REF!</v>
      </c>
      <c r="C145" s="7" t="e">
        <f aca="true">INDIRECT("'Ответы на форму (1)'!C"&amp;$L145,TRUE())</f>
        <v>#REF!</v>
      </c>
      <c r="D145" s="7" t="e">
        <f aca="true">INDIRECT("'Ответы на форму (1)'!D"&amp;$L145,TRUE())</f>
        <v>#REF!</v>
      </c>
      <c r="E145" s="7" t="n">
        <f aca="false">IFERROR(__xludf.dummyfunction("iferror(VALUE(REGEXEXTRACT(TEXT(INDIRECT(""'Ответы на форму (1)'!E""&amp;$L145,TRUE),""####""),""[0-9]+"")),INDIRECT(""'Ответы на форму (1)'!E""&amp;$L145,TRUE))"),117)</f>
        <v>117</v>
      </c>
      <c r="F145" s="7" t="e">
        <f aca="true">INDIRECT("'Ответы на форму (1)'!F"&amp;$L145,TRUE())</f>
        <v>#REF!</v>
      </c>
      <c r="G145" s="8" t="e">
        <f aca="true">IFERROR(MID(INDIRECT("'Ответы на форму (1)'!G"&amp;$L145,TRUE()),SEARCH("vk.com",INDIRECT("'Ответы на форму (1)'!G"&amp;$L145,TRUE())),LEN(INDIRECT("'Ответы на форму (1)'!G"&amp;$L145,TRUE()))),INDIRECT("'Ответы на форму (1)'!G"&amp;$L145,TRUE()))</f>
        <v>#REF!</v>
      </c>
      <c r="H145" s="7" t="e">
        <f aca="true">INDIRECT("'Ответы на форму (1)'!H"&amp;$L145,TRUE())</f>
        <v>#REF!</v>
      </c>
      <c r="I145" s="7" t="e">
        <f aca="true">INDIRECT("'Ответы на форму (1)'!I"&amp;$L145,TRUE())</f>
        <v>#REF!</v>
      </c>
      <c r="J145" s="7" t="e">
        <f aca="true">INDIRECT("'Ответы на форму (1)'!J"&amp;$L145,TRUE())</f>
        <v>#REF!</v>
      </c>
      <c r="K145" s="7" t="e">
        <f aca="false" t="array" ref="K145:K145">IF(COUNTIF(concat(TRIM('Список прошлого года'!$B$2:$B$200),TRIM('Список прошлого года'!$C$2:$C$200)),concat(TRIM(B145),TRIM(C145))) &gt; 0,IF(concat(TRIM(B145),TRIM(C145)) = "","","Да"),"Нет")</f>
        <v>#NAME?</v>
      </c>
      <c r="L145" s="5" t="n">
        <v>167</v>
      </c>
      <c r="M145" s="5" t="n">
        <v>2</v>
      </c>
      <c r="N145" s="7"/>
      <c r="O145" s="7" t="s">
        <v>51</v>
      </c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5.75" hidden="false" customHeight="false" outlineLevel="0" collapsed="false">
      <c r="A146" s="11" t="e">
        <f aca="true">INDIRECT("'Ответы на форму (1)'!A"&amp;$L146,TRUE())</f>
        <v>#REF!</v>
      </c>
      <c r="B146" s="0" t="e">
        <f aca="true">INDIRECT("'Ответы на форму (1)'!B"&amp;$L146,TRUE())</f>
        <v>#REF!</v>
      </c>
      <c r="C146" s="0" t="e">
        <f aca="true">INDIRECT("'Ответы на форму (1)'!C"&amp;$L146,TRUE())</f>
        <v>#REF!</v>
      </c>
      <c r="D146" s="0" t="e">
        <f aca="true">INDIRECT("'Ответы на форму (1)'!D"&amp;$L146,TRUE())</f>
        <v>#REF!</v>
      </c>
      <c r="E146" s="0" t="n">
        <f aca="false">IFERROR(__xludf.dummyfunction("iferror(VALUE(REGEXEXTRACT(TEXT(INDIRECT(""'Ответы на форму (1)'!E""&amp;$L146,TRUE),""####""),""[0-9]+"")),INDIRECT(""'Ответы на форму (1)'!E""&amp;$L146,TRUE))"),166)</f>
        <v>166</v>
      </c>
      <c r="F146" s="0" t="e">
        <f aca="true">INDIRECT("'Ответы на форму (1)'!F"&amp;$L146,TRUE())</f>
        <v>#REF!</v>
      </c>
      <c r="G146" s="12" t="e">
        <f aca="true">IFERROR(MID(INDIRECT("'Ответы на форму (1)'!G"&amp;$L146,TRUE()),SEARCH("vk.com",INDIRECT("'Ответы на форму (1)'!G"&amp;$L146,TRUE())),LEN(INDIRECT("'Ответы на форму (1)'!G"&amp;$L146,TRUE()))),INDIRECT("'Ответы на форму (1)'!G"&amp;$L146,TRUE()))</f>
        <v>#REF!</v>
      </c>
      <c r="H146" s="0" t="e">
        <f aca="true">INDIRECT("'Ответы на форму (1)'!H"&amp;$L146,TRUE())</f>
        <v>#REF!</v>
      </c>
      <c r="I146" s="0" t="e">
        <f aca="true">INDIRECT("'Ответы на форму (1)'!I"&amp;$L146,TRUE())</f>
        <v>#REF!</v>
      </c>
      <c r="J146" s="0" t="e">
        <f aca="true">INDIRECT("'Ответы на форму (1)'!J"&amp;$L146,TRUE())</f>
        <v>#REF!</v>
      </c>
      <c r="K146" s="0" t="e">
        <f aca="false" t="array" ref="K146:K146">IF(COUNTIF(concat(TRIM('Список прошлого года'!$B$2:$B$200),TRIM('Список прошлого года'!$C$2:$C$200)),concat(TRIM(B146),TRIM(C146))) &gt; 0,IF(concat(TRIM(B146),TRIM(C146)) = "","","Да"),"Нет")</f>
        <v>#NAME?</v>
      </c>
      <c r="L146" s="1" t="n">
        <v>169</v>
      </c>
      <c r="M146" s="1" t="n">
        <v>2</v>
      </c>
      <c r="O146" s="0" t="s">
        <v>40</v>
      </c>
    </row>
    <row r="147" customFormat="false" ht="15.75" hidden="false" customHeight="false" outlineLevel="0" collapsed="false">
      <c r="A147" s="11" t="e">
        <f aca="true">INDIRECT("'Ответы на форму (1)'!A"&amp;$L147,TRUE())</f>
        <v>#REF!</v>
      </c>
      <c r="B147" s="0" t="e">
        <f aca="true">INDIRECT("'Ответы на форму (1)'!B"&amp;$L147,TRUE())</f>
        <v>#REF!</v>
      </c>
      <c r="C147" s="0" t="e">
        <f aca="true">INDIRECT("'Ответы на форму (1)'!C"&amp;$L147,TRUE())</f>
        <v>#REF!</v>
      </c>
      <c r="D147" s="0" t="e">
        <f aca="true">INDIRECT("'Ответы на форму (1)'!D"&amp;$L147,TRUE())</f>
        <v>#REF!</v>
      </c>
      <c r="E147" s="0" t="n">
        <f aca="false">IFERROR(__xludf.dummyfunction("iferror(VALUE(REGEXEXTRACT(TEXT(INDIRECT(""'Ответы на форму (1)'!E""&amp;$L147,TRUE),""####""),""[0-9]+"")),INDIRECT(""'Ответы на форму (1)'!E""&amp;$L147,TRUE))"),56)</f>
        <v>56</v>
      </c>
      <c r="F147" s="0" t="e">
        <f aca="true">INDIRECT("'Ответы на форму (1)'!F"&amp;$L147,TRUE())</f>
        <v>#REF!</v>
      </c>
      <c r="G147" s="12" t="e">
        <f aca="true">IFERROR(MID(INDIRECT("'Ответы на форму (1)'!G"&amp;$L147,TRUE()),SEARCH("vk.com",INDIRECT("'Ответы на форму (1)'!G"&amp;$L147,TRUE())),LEN(INDIRECT("'Ответы на форму (1)'!G"&amp;$L147,TRUE()))),INDIRECT("'Ответы на форму (1)'!G"&amp;$L147,TRUE()))</f>
        <v>#REF!</v>
      </c>
      <c r="H147" s="0" t="e">
        <f aca="true">INDIRECT("'Ответы на форму (1)'!H"&amp;$L147,TRUE())</f>
        <v>#REF!</v>
      </c>
      <c r="I147" s="0" t="e">
        <f aca="true">INDIRECT("'Ответы на форму (1)'!I"&amp;$L147,TRUE())</f>
        <v>#REF!</v>
      </c>
      <c r="J147" s="0" t="e">
        <f aca="true">INDIRECT("'Ответы на форму (1)'!J"&amp;$L147,TRUE())</f>
        <v>#REF!</v>
      </c>
      <c r="K147" s="0" t="e">
        <f aca="false" t="array" ref="K147:K147">IF(COUNTIF(concat(TRIM('Список прошлого года'!$B$2:$B$200),TRIM('Список прошлого года'!$C$2:$C$200)),concat(TRIM(B147),TRIM(C147))) &gt; 0,IF(concat(TRIM(B147),TRIM(C147)) = "","","Да"),"Нет")</f>
        <v>#NAME?</v>
      </c>
      <c r="L147" s="1" t="n">
        <v>168</v>
      </c>
      <c r="M147" s="1" t="n">
        <v>2</v>
      </c>
      <c r="O147" s="0" t="s">
        <v>148</v>
      </c>
    </row>
    <row r="148" customFormat="false" ht="15.75" hidden="false" customHeight="false" outlineLevel="0" collapsed="false">
      <c r="A148" s="6" t="e">
        <f aca="true">INDIRECT("'Ответы на форму (1)'!A"&amp;$L148,TRUE())</f>
        <v>#REF!</v>
      </c>
      <c r="B148" s="7" t="e">
        <f aca="true">INDIRECT("'Ответы на форму (1)'!B"&amp;$L148,TRUE())</f>
        <v>#REF!</v>
      </c>
      <c r="C148" s="7" t="e">
        <f aca="true">INDIRECT("'Ответы на форму (1)'!C"&amp;$L148,TRUE())</f>
        <v>#REF!</v>
      </c>
      <c r="D148" s="7" t="e">
        <f aca="true">INDIRECT("'Ответы на форму (1)'!D"&amp;$L148,TRUE())</f>
        <v>#REF!</v>
      </c>
      <c r="E148" s="7" t="n">
        <f aca="false">IFERROR(__xludf.dummyfunction("iferror(VALUE(REGEXEXTRACT(TEXT(INDIRECT(""'Ответы на форму (1)'!E""&amp;$L148,TRUE),""####""),""[0-9]+"")),INDIRECT(""'Ответы на форму (1)'!E""&amp;$L148,TRUE))"),64)</f>
        <v>64</v>
      </c>
      <c r="F148" s="7" t="e">
        <f aca="true">INDIRECT("'Ответы на форму (1)'!F"&amp;$L148,TRUE())</f>
        <v>#REF!</v>
      </c>
      <c r="G148" s="8" t="e">
        <f aca="true">IFERROR(MID(INDIRECT("'Ответы на форму (1)'!G"&amp;$L148,TRUE()),SEARCH("vk.com",INDIRECT("'Ответы на форму (1)'!G"&amp;$L148,TRUE())),LEN(INDIRECT("'Ответы на форму (1)'!G"&amp;$L148,TRUE()))),INDIRECT("'Ответы на форму (1)'!G"&amp;$L148,TRUE()))</f>
        <v>#REF!</v>
      </c>
      <c r="H148" s="7" t="e">
        <f aca="true">INDIRECT("'Ответы на форму (1)'!H"&amp;$L148,TRUE())</f>
        <v>#REF!</v>
      </c>
      <c r="I148" s="7" t="e">
        <f aca="true">INDIRECT("'Ответы на форму (1)'!I"&amp;$L148,TRUE())</f>
        <v>#REF!</v>
      </c>
      <c r="J148" s="7" t="e">
        <f aca="true">INDIRECT("'Ответы на форму (1)'!J"&amp;$L148,TRUE())</f>
        <v>#REF!</v>
      </c>
      <c r="K148" s="7" t="e">
        <f aca="false" t="array" ref="K148:K148">IF(COUNTIF(concat(TRIM('Список прошлого года'!$B$2:$B$200),TRIM('Список прошлого года'!$C$2:$C$200)),concat(TRIM(B148),TRIM(C148))) &gt; 0,IF(concat(TRIM(B148),TRIM(C148)) = "","","Да"),"Нет")</f>
        <v>#NAME?</v>
      </c>
      <c r="L148" s="5" t="n">
        <v>171</v>
      </c>
      <c r="M148" s="5" t="n">
        <v>2</v>
      </c>
      <c r="N148" s="7"/>
      <c r="O148" s="7" t="s">
        <v>15</v>
      </c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5.75" hidden="false" customHeight="false" outlineLevel="0" collapsed="false">
      <c r="A149" s="6" t="e">
        <f aca="true">INDIRECT("'Ответы на форму (1)'!A"&amp;$L149,TRUE())</f>
        <v>#REF!</v>
      </c>
      <c r="B149" s="7" t="e">
        <f aca="true">INDIRECT("'Ответы на форму (1)'!B"&amp;$L149,TRUE())</f>
        <v>#REF!</v>
      </c>
      <c r="C149" s="7" t="e">
        <f aca="true">INDIRECT("'Ответы на форму (1)'!C"&amp;$L149,TRUE())</f>
        <v>#REF!</v>
      </c>
      <c r="D149" s="7" t="e">
        <f aca="true">INDIRECT("'Ответы на форму (1)'!D"&amp;$L149,TRUE())</f>
        <v>#REF!</v>
      </c>
      <c r="E149" s="7" t="n">
        <f aca="false">IFERROR(__xludf.dummyfunction("iferror(VALUE(REGEXEXTRACT(TEXT(INDIRECT(""'Ответы на форму (1)'!E""&amp;$L149,TRUE),""####""),""[0-9]+"")),INDIRECT(""'Ответы на форму (1)'!E""&amp;$L149,TRUE))"),19)</f>
        <v>19</v>
      </c>
      <c r="F149" s="7" t="e">
        <f aca="true">INDIRECT("'Ответы на форму (1)'!F"&amp;$L149,TRUE())</f>
        <v>#REF!</v>
      </c>
      <c r="G149" s="8" t="e">
        <f aca="true">IFERROR(MID(INDIRECT("'Ответы на форму (1)'!G"&amp;$L149,TRUE()),SEARCH("vk.com",INDIRECT("'Ответы на форму (1)'!G"&amp;$L149,TRUE())),LEN(INDIRECT("'Ответы на форму (1)'!G"&amp;$L149,TRUE()))),INDIRECT("'Ответы на форму (1)'!G"&amp;$L149,TRUE()))</f>
        <v>#REF!</v>
      </c>
      <c r="H149" s="7" t="e">
        <f aca="true">INDIRECT("'Ответы на форму (1)'!H"&amp;$L149,TRUE())</f>
        <v>#REF!</v>
      </c>
      <c r="I149" s="7" t="e">
        <f aca="true">INDIRECT("'Ответы на форму (1)'!I"&amp;$L149,TRUE())</f>
        <v>#REF!</v>
      </c>
      <c r="J149" s="7" t="e">
        <f aca="true">INDIRECT("'Ответы на форму (1)'!J"&amp;$L149,TRUE())</f>
        <v>#REF!</v>
      </c>
      <c r="K149" s="7" t="e">
        <f aca="false" t="array" ref="K149:K149">IF(COUNTIF(concat(TRIM('Список прошлого года'!$B$2:$B$200),TRIM('Список прошлого года'!$C$2:$C$200)),concat(TRIM(B149),TRIM(C149))) &gt; 0,IF(concat(TRIM(B149),TRIM(C149)) = "","","Да"),"Нет")</f>
        <v>#NAME?</v>
      </c>
      <c r="L149" s="5" t="n">
        <v>172</v>
      </c>
      <c r="M149" s="5" t="n">
        <v>2</v>
      </c>
      <c r="N149" s="7"/>
      <c r="O149" s="7" t="s">
        <v>40</v>
      </c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5.75" hidden="false" customHeight="false" outlineLevel="0" collapsed="false">
      <c r="A150" s="11" t="e">
        <f aca="true">INDIRECT("'Ответы на форму (1)'!A"&amp;$L150,TRUE())</f>
        <v>#REF!</v>
      </c>
      <c r="B150" s="0" t="e">
        <f aca="true">INDIRECT("'Ответы на форму (1)'!B"&amp;$L150,TRUE())</f>
        <v>#REF!</v>
      </c>
      <c r="C150" s="0" t="e">
        <f aca="true">INDIRECT("'Ответы на форму (1)'!C"&amp;$L150,TRUE())</f>
        <v>#REF!</v>
      </c>
      <c r="D150" s="0" t="e">
        <f aca="true">INDIRECT("'Ответы на форму (1)'!D"&amp;$L150,TRUE())</f>
        <v>#REF!</v>
      </c>
      <c r="E150" s="0" t="n">
        <f aca="false">IFERROR(__xludf.dummyfunction("iferror(VALUE(REGEXEXTRACT(TEXT(INDIRECT(""'Ответы на форму (1)'!E""&amp;$L150,TRUE),""####""),""[0-9]+"")),INDIRECT(""'Ответы на форму (1)'!E""&amp;$L150,TRUE))"),117)</f>
        <v>117</v>
      </c>
      <c r="F150" s="0" t="e">
        <f aca="true">INDIRECT("'Ответы на форму (1)'!F"&amp;$L150,TRUE())</f>
        <v>#REF!</v>
      </c>
      <c r="G150" s="12" t="e">
        <f aca="true">IFERROR(MID(INDIRECT("'Ответы на форму (1)'!G"&amp;$L150,TRUE()),SEARCH("vk.com",INDIRECT("'Ответы на форму (1)'!G"&amp;$L150,TRUE())),LEN(INDIRECT("'Ответы на форму (1)'!G"&amp;$L150,TRUE()))),INDIRECT("'Ответы на форму (1)'!G"&amp;$L150,TRUE()))</f>
        <v>#REF!</v>
      </c>
      <c r="H150" s="0" t="e">
        <f aca="true">INDIRECT("'Ответы на форму (1)'!H"&amp;$L150,TRUE())</f>
        <v>#REF!</v>
      </c>
      <c r="I150" s="0" t="e">
        <f aca="true">INDIRECT("'Ответы на форму (1)'!I"&amp;$L150,TRUE())</f>
        <v>#REF!</v>
      </c>
      <c r="J150" s="0" t="e">
        <f aca="true">INDIRECT("'Ответы на форму (1)'!J"&amp;$L150,TRUE())</f>
        <v>#REF!</v>
      </c>
      <c r="K150" s="0" t="e">
        <f aca="false" t="array" ref="K150:K150">IF(COUNTIF(concat(TRIM('Список прошлого года'!$B$2:$B$200),TRIM('Список прошлого года'!$C$2:$C$200)),concat(TRIM(B150),TRIM(C150))) &gt; 0,IF(concat(TRIM(B150),TRIM(C150)) = "","","Да"),"Нет")</f>
        <v>#NAME?</v>
      </c>
      <c r="L150" s="1" t="n">
        <v>173</v>
      </c>
      <c r="M150" s="1" t="n">
        <v>-1</v>
      </c>
      <c r="O150" s="0" t="s">
        <v>51</v>
      </c>
    </row>
    <row r="151" customFormat="false" ht="15.75" hidden="false" customHeight="false" outlineLevel="0" collapsed="false">
      <c r="A151" s="6" t="e">
        <f aca="true">INDIRECT("'Ответы на форму (1)'!A"&amp;$L151,TRUE())</f>
        <v>#REF!</v>
      </c>
      <c r="B151" s="7" t="e">
        <f aca="true">INDIRECT("'Ответы на форму (1)'!B"&amp;$L151,TRUE())</f>
        <v>#REF!</v>
      </c>
      <c r="C151" s="7" t="e">
        <f aca="true">INDIRECT("'Ответы на форму (1)'!C"&amp;$L151,TRUE())</f>
        <v>#REF!</v>
      </c>
      <c r="D151" s="7" t="e">
        <f aca="true">INDIRECT("'Ответы на форму (1)'!D"&amp;$L151,TRUE())</f>
        <v>#REF!</v>
      </c>
      <c r="E151" s="7" t="n">
        <f aca="false">IFERROR(__xludf.dummyfunction("iferror(VALUE(REGEXEXTRACT(TEXT(INDIRECT(""'Ответы на форму (1)'!E""&amp;$L151,TRUE),""####""),""[0-9]+"")),INDIRECT(""'Ответы на форму (1)'!E""&amp;$L151,TRUE))"),64)</f>
        <v>64</v>
      </c>
      <c r="F151" s="7" t="e">
        <f aca="true">INDIRECT("'Ответы на форму (1)'!F"&amp;$L151,TRUE())</f>
        <v>#REF!</v>
      </c>
      <c r="G151" s="8" t="e">
        <f aca="true">IFERROR(MID(INDIRECT("'Ответы на форму (1)'!G"&amp;$L151,TRUE()),SEARCH("vk.com",INDIRECT("'Ответы на форму (1)'!G"&amp;$L151,TRUE())),LEN(INDIRECT("'Ответы на форму (1)'!G"&amp;$L151,TRUE()))),INDIRECT("'Ответы на форму (1)'!G"&amp;$L151,TRUE()))</f>
        <v>#REF!</v>
      </c>
      <c r="H151" s="7" t="e">
        <f aca="true">INDIRECT("'Ответы на форму (1)'!H"&amp;$L151,TRUE())</f>
        <v>#REF!</v>
      </c>
      <c r="I151" s="7" t="e">
        <f aca="true">INDIRECT("'Ответы на форму (1)'!I"&amp;$L151,TRUE())</f>
        <v>#REF!</v>
      </c>
      <c r="J151" s="7" t="e">
        <f aca="true">INDIRECT("'Ответы на форму (1)'!J"&amp;$L151,TRUE())</f>
        <v>#REF!</v>
      </c>
      <c r="K151" s="7" t="e">
        <f aca="false" t="array" ref="K151:K151">IF(COUNTIF(concat(TRIM('Список прошлого года'!$B$2:$B$200),TRIM('Список прошлого года'!$C$2:$C$200)),concat(TRIM(B151),TRIM(C151))) &gt; 0,IF(concat(TRIM(B151),TRIM(C151)) = "","","Да"),"Нет")</f>
        <v>#NAME?</v>
      </c>
      <c r="L151" s="5" t="n">
        <v>174</v>
      </c>
      <c r="M151" s="5" t="n">
        <v>2</v>
      </c>
      <c r="N151" s="7"/>
      <c r="O151" s="7" t="s">
        <v>180</v>
      </c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5.75" hidden="false" customHeight="false" outlineLevel="0" collapsed="false">
      <c r="A152" s="6" t="e">
        <f aca="true">INDIRECT("'Ответы на форму (1)'!A"&amp;$L152,TRUE())</f>
        <v>#REF!</v>
      </c>
      <c r="B152" s="7" t="e">
        <f aca="true">INDIRECT("'Ответы на форму (1)'!B"&amp;$L152,TRUE())</f>
        <v>#REF!</v>
      </c>
      <c r="C152" s="7" t="e">
        <f aca="true">INDIRECT("'Ответы на форму (1)'!C"&amp;$L152,TRUE())</f>
        <v>#REF!</v>
      </c>
      <c r="D152" s="7" t="e">
        <f aca="true">INDIRECT("'Ответы на форму (1)'!D"&amp;$L152,TRUE())</f>
        <v>#REF!</v>
      </c>
      <c r="E152" s="7" t="n">
        <f aca="false">IFERROR(__xludf.dummyfunction("iferror(VALUE(REGEXEXTRACT(TEXT(INDIRECT(""'Ответы на форму (1)'!E""&amp;$L152,TRUE),""####""),""[0-9]+"")),INDIRECT(""'Ответы на форму (1)'!E""&amp;$L152,TRUE))"),117)</f>
        <v>117</v>
      </c>
      <c r="F152" s="7" t="e">
        <f aca="true">INDIRECT("'Ответы на форму (1)'!F"&amp;$L152,TRUE())</f>
        <v>#REF!</v>
      </c>
      <c r="G152" s="8" t="e">
        <f aca="true">IFERROR(MID(INDIRECT("'Ответы на форму (1)'!G"&amp;$L152,TRUE()),SEARCH("vk.com",INDIRECT("'Ответы на форму (1)'!G"&amp;$L152,TRUE())),LEN(INDIRECT("'Ответы на форму (1)'!G"&amp;$L152,TRUE()))),INDIRECT("'Ответы на форму (1)'!G"&amp;$L152,TRUE()))</f>
        <v>#REF!</v>
      </c>
      <c r="H152" s="7" t="e">
        <f aca="true">INDIRECT("'Ответы на форму (1)'!H"&amp;$L152,TRUE())</f>
        <v>#REF!</v>
      </c>
      <c r="I152" s="7" t="e">
        <f aca="true">INDIRECT("'Ответы на форму (1)'!I"&amp;$L152,TRUE())</f>
        <v>#REF!</v>
      </c>
      <c r="J152" s="7" t="e">
        <f aca="true">INDIRECT("'Ответы на форму (1)'!J"&amp;$L152,TRUE())</f>
        <v>#REF!</v>
      </c>
      <c r="K152" s="7" t="e">
        <f aca="false" t="array" ref="K152:K152">IF(COUNTIF(concat(TRIM('Список прошлого года'!$B$2:$B$200),TRIM('Список прошлого года'!$C$2:$C$200)),concat(TRIM(B152),TRIM(C152))) &gt; 0,IF(concat(TRIM(B152),TRIM(C152)) = "","","Да"),"Нет")</f>
        <v>#NAME?</v>
      </c>
      <c r="L152" s="5" t="n">
        <v>175</v>
      </c>
      <c r="M152" s="5" t="n">
        <v>2</v>
      </c>
      <c r="N152" s="7"/>
      <c r="O152" s="7" t="s">
        <v>50</v>
      </c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5.75" hidden="false" customHeight="false" outlineLevel="0" collapsed="false">
      <c r="A153" s="7" t="e">
        <f aca="true">INDIRECT("'Ответы на форму (1)'!A"&amp;$L153,TRUE())</f>
        <v>#REF!</v>
      </c>
      <c r="B153" s="5" t="s">
        <v>697</v>
      </c>
      <c r="C153" s="5" t="s">
        <v>698</v>
      </c>
      <c r="D153" s="5" t="n">
        <v>10</v>
      </c>
      <c r="E153" s="5" t="n">
        <v>117</v>
      </c>
      <c r="F153" s="7" t="e">
        <f aca="true">INDIRECT("'Ответы на форму (1)'!F"&amp;$L153,TRUE())</f>
        <v>#REF!</v>
      </c>
      <c r="G153" s="14" t="s">
        <v>699</v>
      </c>
      <c r="H153" s="7" t="e">
        <f aca="true">INDIRECT("'Ответы на форму (1)'!H"&amp;$L153,TRUE())</f>
        <v>#REF!</v>
      </c>
      <c r="I153" s="5" t="s">
        <v>14</v>
      </c>
      <c r="J153" s="7" t="s">
        <v>15</v>
      </c>
      <c r="K153" s="7" t="e">
        <f aca="false" t="array" ref="K153:K153">IF(COUNTIF(concat(TRIM('Список прошлого года'!$B$2:$B$200),TRIM('Список прошлого года'!$C$2:$C$200)),concat(TRIM(B153),TRIM(C153))) &gt; 0,IF(concat(TRIM(B153),TRIM(C153)) = "","","Да"),"Нет")</f>
        <v>#NAME?</v>
      </c>
      <c r="L153" s="5" t="n">
        <v>184</v>
      </c>
      <c r="M153" s="5" t="n">
        <v>2</v>
      </c>
      <c r="N153" s="5" t="s">
        <v>700</v>
      </c>
      <c r="O153" s="5" t="s">
        <v>14</v>
      </c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5.75" hidden="false" customHeight="false" outlineLevel="0" collapsed="false">
      <c r="A154" s="7" t="e">
        <f aca="true">INDIRECT("'Ответы на форму (1)'!A"&amp;$L154,TRUE())</f>
        <v>#REF!</v>
      </c>
      <c r="B154" s="5" t="s">
        <v>426</v>
      </c>
      <c r="C154" s="15" t="s">
        <v>71</v>
      </c>
      <c r="D154" s="5" t="n">
        <v>7</v>
      </c>
      <c r="E154" s="5" t="n">
        <v>117</v>
      </c>
      <c r="F154" s="7" t="e">
        <f aca="true">INDIRECT("'Ответы на форму (1)'!F"&amp;$L154,TRUE())</f>
        <v>#REF!</v>
      </c>
      <c r="G154" s="14" t="s">
        <v>701</v>
      </c>
      <c r="H154" s="7" t="e">
        <f aca="true">INDIRECT("'Ответы на форму (1)'!H"&amp;$L154,TRUE())</f>
        <v>#REF!</v>
      </c>
      <c r="I154" s="5" t="s">
        <v>40</v>
      </c>
      <c r="J154" s="5" t="s">
        <v>65</v>
      </c>
      <c r="K154" s="7" t="e">
        <f aca="false" t="array" ref="K154:K154">IF(COUNTIF(concat(TRIM('Список прошлого года'!$B$2:$B$200),TRIM('Список прошлого года'!$C$2:$C$200)),concat(TRIM(B154),TRIM(C154))) &gt; 0,IF(concat(TRIM(B154),TRIM(C154)) = "","","Да"),"Нет")</f>
        <v>#NAME?</v>
      </c>
      <c r="L154" s="5" t="n">
        <v>182</v>
      </c>
      <c r="M154" s="5" t="n">
        <v>2</v>
      </c>
      <c r="N154" s="7"/>
      <c r="O154" s="5" t="s">
        <v>40</v>
      </c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5.75" hidden="false" customHeight="false" outlineLevel="0" collapsed="false">
      <c r="A155" s="0" t="e">
        <f aca="true">INDIRECT("'Ответы на форму (1)'!A"&amp;$L155,TRUE())</f>
        <v>#REF!</v>
      </c>
      <c r="B155" s="1" t="s">
        <v>702</v>
      </c>
      <c r="C155" s="1" t="s">
        <v>509</v>
      </c>
      <c r="D155" s="1" t="n">
        <v>10</v>
      </c>
      <c r="E155" s="1" t="n">
        <v>117</v>
      </c>
      <c r="F155" s="0" t="e">
        <f aca="true">INDIRECT("'Ответы на форму (1)'!F"&amp;$L155,TRUE())</f>
        <v>#REF!</v>
      </c>
      <c r="G155" s="3" t="s">
        <v>703</v>
      </c>
      <c r="H155" s="0" t="e">
        <f aca="true">INDIRECT("'Ответы на форму (1)'!H"&amp;$L155,TRUE())</f>
        <v>#REF!</v>
      </c>
      <c r="I155" s="1" t="s">
        <v>14</v>
      </c>
      <c r="J155" s="1" t="s">
        <v>65</v>
      </c>
      <c r="K155" s="0" t="e">
        <f aca="false" t="array" ref="K155:K155">IF(COUNTIF(concat(TRIM('Список прошлого года'!$B$2:$B$200),TRIM('Список прошлого года'!$C$2:$C$200)),concat(TRIM(B155),TRIM(C155))) &gt; 0,IF(concat(TRIM(B155),TRIM(C155)) = "","","Да"),"Нет")</f>
        <v>#NAME?</v>
      </c>
      <c r="L155" s="1" t="n">
        <v>185</v>
      </c>
      <c r="M155" s="1" t="n">
        <v>2</v>
      </c>
      <c r="O155" s="1" t="s">
        <v>14</v>
      </c>
    </row>
    <row r="156" customFormat="false" ht="15.75" hidden="false" customHeight="false" outlineLevel="0" collapsed="false">
      <c r="A156" s="0" t="e">
        <f aca="true">INDIRECT("'Ответы на форму (1)'!A"&amp;$L156,TRUE())</f>
        <v>#REF!</v>
      </c>
      <c r="B156" s="1" t="s">
        <v>704</v>
      </c>
      <c r="C156" s="1" t="s">
        <v>403</v>
      </c>
      <c r="D156" s="1" t="n">
        <v>8</v>
      </c>
      <c r="E156" s="1" t="n">
        <v>149</v>
      </c>
      <c r="F156" s="0" t="e">
        <f aca="true">INDIRECT("'Ответы на форму (1)'!F"&amp;$L156,TRUE())</f>
        <v>#REF!</v>
      </c>
      <c r="G156" s="0" t="e">
        <f aca="true">IFERROR(MID(INDIRECT("'Ответы на форму (1)'!G"&amp;$L156,TRUE()),SEARCH("vk.com",INDIRECT("'Ответы на форму (1)'!G"&amp;$L156,TRUE())),LEN(INDIRECT("'Ответы на форму (1)'!G"&amp;$L156,TRUE()))),INDIRECT("'Ответы на форму (1)'!G"&amp;$L156,TRUE()))</f>
        <v>#REF!</v>
      </c>
      <c r="H156" s="0" t="e">
        <f aca="true">INDIRECT("'Ответы на форму (1)'!H"&amp;$L156,TRUE())</f>
        <v>#REF!</v>
      </c>
      <c r="I156" s="1" t="s">
        <v>15</v>
      </c>
      <c r="J156" s="1" t="s">
        <v>65</v>
      </c>
      <c r="K156" s="0" t="e">
        <f aca="false" t="array" ref="K156:K156">IF(COUNTIF(concat(TRIM('Список прошлого года'!$B$2:$B$200),TRIM('Список прошлого года'!$C$2:$C$200)),concat(TRIM(B156),TRIM(C156))) &gt; 0,IF(concat(TRIM(B156),TRIM(C156)) = "","","Да"),"Нет")</f>
        <v>#NAME?</v>
      </c>
      <c r="L156" s="1" t="n">
        <v>188</v>
      </c>
      <c r="M156" s="1" t="n">
        <v>2</v>
      </c>
      <c r="O156" s="1" t="s">
        <v>15</v>
      </c>
    </row>
    <row r="157" customFormat="false" ht="15.75" hidden="false" customHeight="false" outlineLevel="0" collapsed="false">
      <c r="A157" s="7" t="e">
        <f aca="true">INDIRECT("'Ответы на форму (1)'!A"&amp;$L157,TRUE())</f>
        <v>#REF!</v>
      </c>
      <c r="B157" s="5" t="s">
        <v>705</v>
      </c>
      <c r="C157" s="5" t="s">
        <v>173</v>
      </c>
      <c r="D157" s="5" t="n">
        <v>9</v>
      </c>
      <c r="E157" s="5" t="n">
        <v>149</v>
      </c>
      <c r="F157" s="7" t="e">
        <f aca="true">INDIRECT("'Ответы на форму (1)'!F"&amp;$L157,TRUE())</f>
        <v>#REF!</v>
      </c>
      <c r="G157" s="7" t="e">
        <f aca="true">IFERROR(MID(INDIRECT("'Ответы на форму (1)'!G"&amp;$L157,TRUE()),SEARCH("vk.com",INDIRECT("'Ответы на форму (1)'!G"&amp;$L157,TRUE())),LEN(INDIRECT("'Ответы на форму (1)'!G"&amp;$L157,TRUE()))),INDIRECT("'Ответы на форму (1)'!G"&amp;$L157,TRUE()))</f>
        <v>#REF!</v>
      </c>
      <c r="H157" s="7" t="e">
        <f aca="true">INDIRECT("'Ответы на форму (1)'!H"&amp;$L157,TRUE())</f>
        <v>#REF!</v>
      </c>
      <c r="I157" s="5" t="s">
        <v>51</v>
      </c>
      <c r="J157" s="5" t="s">
        <v>65</v>
      </c>
      <c r="K157" s="7" t="e">
        <f aca="false" t="array" ref="K157:K157">IF(COUNTIF(concat(TRIM('Список прошлого года'!$B$2:$B$200),TRIM('Список прошлого года'!$C$2:$C$200)),concat(TRIM(B157),TRIM(C157))) &gt; 0,IF(concat(TRIM(B157),TRIM(C157)) = "","","Да"),"Нет")</f>
        <v>#NAME?</v>
      </c>
      <c r="L157" s="5" t="n">
        <v>193</v>
      </c>
      <c r="M157" s="5" t="n">
        <v>2</v>
      </c>
      <c r="N157" s="7"/>
      <c r="O157" s="5" t="s">
        <v>51</v>
      </c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5.75" hidden="false" customHeight="false" outlineLevel="0" collapsed="false">
      <c r="A158" s="7" t="e">
        <f aca="true">INDIRECT("'Ответы на форму (1)'!A"&amp;$L158,TRUE())</f>
        <v>#REF!</v>
      </c>
      <c r="B158" s="5" t="s">
        <v>706</v>
      </c>
      <c r="C158" s="5" t="s">
        <v>115</v>
      </c>
      <c r="D158" s="5" t="n">
        <v>10</v>
      </c>
      <c r="E158" s="5" t="n">
        <v>115</v>
      </c>
      <c r="F158" s="7" t="e">
        <f aca="true">INDIRECT("'Ответы на форму (1)'!F"&amp;$L158,TRUE())</f>
        <v>#REF!</v>
      </c>
      <c r="G158" s="14" t="s">
        <v>707</v>
      </c>
      <c r="H158" s="7" t="e">
        <f aca="true">INDIRECT("'Ответы на форму (1)'!H"&amp;$L158,TRUE())</f>
        <v>#REF!</v>
      </c>
      <c r="I158" s="5" t="s">
        <v>22</v>
      </c>
      <c r="J158" s="5" t="s">
        <v>45</v>
      </c>
      <c r="K158" s="7" t="e">
        <f aca="false" t="array" ref="K158:K158">IF(COUNTIF(concat(TRIM('Список прошлого года'!$B$2:$B$200),TRIM('Список прошлого года'!$C$2:$C$200)),concat(TRIM(B158),TRIM(C158))) &gt; 0,IF(concat(TRIM(B158),TRIM(C158)) = "","","Да"),"Нет")</f>
        <v>#NAME?</v>
      </c>
      <c r="L158" s="5" t="n">
        <v>181</v>
      </c>
      <c r="M158" s="5" t="n">
        <v>2</v>
      </c>
      <c r="N158" s="7"/>
      <c r="O158" s="5" t="s">
        <v>22</v>
      </c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5.75" hidden="false" customHeight="false" outlineLevel="0" collapsed="false">
      <c r="A159" s="7" t="e">
        <f aca="true">INDIRECT("'Ответы на форму (1)'!A"&amp;$L159,TRUE())</f>
        <v>#REF!</v>
      </c>
      <c r="B159" s="5" t="s">
        <v>708</v>
      </c>
      <c r="C159" s="5" t="s">
        <v>233</v>
      </c>
      <c r="D159" s="5" t="n">
        <v>10</v>
      </c>
      <c r="E159" s="5" t="n">
        <v>149</v>
      </c>
      <c r="F159" s="7" t="e">
        <f aca="true">INDIRECT("'Ответы на форму (1)'!F"&amp;$L159,TRUE())</f>
        <v>#REF!</v>
      </c>
      <c r="G159" s="14" t="s">
        <v>709</v>
      </c>
      <c r="H159" s="7" t="e">
        <f aca="true">INDIRECT("'Ответы на форму (1)'!H"&amp;$L159,TRUE())</f>
        <v>#REF!</v>
      </c>
      <c r="I159" s="5" t="s">
        <v>51</v>
      </c>
      <c r="J159" s="5" t="s">
        <v>45</v>
      </c>
      <c r="K159" s="7" t="e">
        <f aca="false" t="array" ref="K159:K159">IF(COUNTIF(concat(TRIM('Список прошлого года'!$B$2:$B$200),TRIM('Список прошлого года'!$C$2:$C$200)),concat(TRIM(B159),TRIM(C159))) &gt; 0,IF(concat(TRIM(B159),TRIM(C159)) = "","","Да"),"Нет")</f>
        <v>#NAME?</v>
      </c>
      <c r="L159" s="5" t="n">
        <v>186</v>
      </c>
      <c r="M159" s="5" t="n">
        <v>2</v>
      </c>
      <c r="N159" s="7"/>
      <c r="O159" s="5" t="s">
        <v>51</v>
      </c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5.75" hidden="false" customHeight="false" outlineLevel="0" collapsed="false">
      <c r="A160" s="0" t="e">
        <f aca="true">INDIRECT("'Ответы на форму (1)'!A"&amp;$L160,TRUE())</f>
        <v>#REF!</v>
      </c>
      <c r="B160" s="1" t="s">
        <v>708</v>
      </c>
      <c r="C160" s="1" t="s">
        <v>264</v>
      </c>
      <c r="D160" s="1" t="n">
        <v>10</v>
      </c>
      <c r="E160" s="1" t="n">
        <v>149</v>
      </c>
      <c r="F160" s="0" t="e">
        <f aca="true">INDIRECT("'Ответы на форму (1)'!F"&amp;$L160,TRUE())</f>
        <v>#REF!</v>
      </c>
      <c r="G160" s="3" t="s">
        <v>710</v>
      </c>
      <c r="H160" s="0" t="e">
        <f aca="true">INDIRECT("'Ответы на форму (1)'!H"&amp;$L160,TRUE())</f>
        <v>#REF!</v>
      </c>
      <c r="I160" s="1" t="s">
        <v>51</v>
      </c>
      <c r="J160" s="1" t="s">
        <v>45</v>
      </c>
      <c r="K160" s="0" t="e">
        <f aca="false" t="array" ref="K160:K160">IF(COUNTIF(concat(TRIM('Список прошлого года'!$B$2:$B$200),TRIM('Список прошлого года'!$C$2:$C$200)),concat(TRIM(B160),TRIM(C160))) &gt; 0,IF(concat(TRIM(B160),TRIM(C160)) = "","","Да"),"Нет")</f>
        <v>#NAME?</v>
      </c>
      <c r="L160" s="1" t="n">
        <v>187</v>
      </c>
      <c r="M160" s="1" t="n">
        <v>2</v>
      </c>
      <c r="O160" s="1" t="s">
        <v>51</v>
      </c>
    </row>
    <row r="161" customFormat="false" ht="15.75" hidden="false" customHeight="false" outlineLevel="0" collapsed="false">
      <c r="A161" s="7" t="e">
        <f aca="true">INDIRECT("'Ответы на форму (1)'!A"&amp;$L161,TRUE())</f>
        <v>#REF!</v>
      </c>
      <c r="B161" s="5" t="s">
        <v>711</v>
      </c>
      <c r="C161" s="5" t="s">
        <v>61</v>
      </c>
      <c r="D161" s="5" t="n">
        <v>9</v>
      </c>
      <c r="E161" s="5" t="n">
        <v>149</v>
      </c>
      <c r="F161" s="7" t="e">
        <f aca="true">INDIRECT("'Ответы на форму (1)'!F"&amp;$L161,TRUE())</f>
        <v>#REF!</v>
      </c>
      <c r="G161" s="14" t="s">
        <v>712</v>
      </c>
      <c r="H161" s="7" t="e">
        <f aca="true">INDIRECT("'Ответы на форму (1)'!H"&amp;$L161,TRUE())</f>
        <v>#REF!</v>
      </c>
      <c r="I161" s="5" t="s">
        <v>14</v>
      </c>
      <c r="J161" s="5" t="s">
        <v>40</v>
      </c>
      <c r="K161" s="7" t="e">
        <f aca="false" t="array" ref="K161:K161">IF(COUNTIF(concat(TRIM('Список прошлого года'!$B$2:$B$200),TRIM('Список прошлого года'!$C$2:$C$200)),concat(TRIM(B161),TRIM(C161))) &gt; 0,IF(concat(TRIM(B161),TRIM(C161)) = "","","Да"),"Нет")</f>
        <v>#NAME?</v>
      </c>
      <c r="L161" s="5" t="n">
        <v>183</v>
      </c>
      <c r="M161" s="5" t="n">
        <v>2</v>
      </c>
      <c r="N161" s="7"/>
      <c r="O161" s="5" t="s">
        <v>14</v>
      </c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5.75" hidden="false" customHeight="false" outlineLevel="0" collapsed="false">
      <c r="A162" s="0" t="e">
        <f aca="true">INDIRECT("'Ответы на форму (1)'!A"&amp;$L162,TRUE())</f>
        <v>#REF!</v>
      </c>
      <c r="B162" s="1" t="s">
        <v>627</v>
      </c>
      <c r="C162" s="1" t="s">
        <v>628</v>
      </c>
      <c r="D162" s="1" t="n">
        <v>9</v>
      </c>
      <c r="E162" s="1" t="n">
        <v>117</v>
      </c>
      <c r="F162" s="0" t="e">
        <f aca="true">INDIRECT("'Ответы на форму (1)'!F"&amp;$L162,TRUE())</f>
        <v>#REF!</v>
      </c>
      <c r="G162" s="0" t="e">
        <f aca="true">IFERROR(MID(INDIRECT("'Ответы на форму (1)'!G"&amp;$L162,TRUE()),SEARCH("vk.com",INDIRECT("'Ответы на форму (1)'!G"&amp;$L162,TRUE())),LEN(INDIRECT("'Ответы на форму (1)'!G"&amp;$L162,TRUE()))),INDIRECT("'Ответы на форму (1)'!G"&amp;$L162,TRUE()))</f>
        <v>#REF!</v>
      </c>
      <c r="H162" s="0" t="e">
        <f aca="true">INDIRECT("'Ответы на форму (1)'!H"&amp;$L162,TRUE())</f>
        <v>#REF!</v>
      </c>
      <c r="I162" s="1" t="s">
        <v>22</v>
      </c>
      <c r="J162" s="1" t="s">
        <v>40</v>
      </c>
      <c r="K162" s="0" t="e">
        <f aca="false" t="array" ref="K162:K162">IF(COUNTIF(concat(TRIM('Список прошлого года'!$B$2:$B$200),TRIM('Список прошлого года'!$C$2:$C$200)),concat(TRIM(B162),TRIM(C162))) &gt; 0,IF(concat(TRIM(B162),TRIM(C162)) = "","","Да"),"Нет")</f>
        <v>#NAME?</v>
      </c>
      <c r="L162" s="1" t="n">
        <v>189</v>
      </c>
      <c r="M162" s="1" t="n">
        <v>2</v>
      </c>
      <c r="O162" s="1" t="s">
        <v>22</v>
      </c>
    </row>
    <row r="163" customFormat="false" ht="15.75" hidden="false" customHeight="false" outlineLevel="0" collapsed="false">
      <c r="A163" s="0" t="e">
        <f aca="true">INDIRECT("'Ответы на форму (1)'!A"&amp;$L163,TRUE())</f>
        <v>#REF!</v>
      </c>
      <c r="B163" s="1" t="s">
        <v>713</v>
      </c>
      <c r="C163" s="1" t="s">
        <v>714</v>
      </c>
      <c r="D163" s="1" t="n">
        <v>9</v>
      </c>
      <c r="E163" s="1" t="n">
        <v>117</v>
      </c>
      <c r="F163" s="0" t="e">
        <f aca="true">INDIRECT("'Ответы на форму (1)'!F"&amp;$L163,TRUE())</f>
        <v>#REF!</v>
      </c>
      <c r="G163" s="0" t="e">
        <f aca="true">IFERROR(MID(INDIRECT("'Ответы на форму (1)'!G"&amp;$L163,TRUE()),SEARCH("vk.com",INDIRECT("'Ответы на форму (1)'!G"&amp;$L163,TRUE())),LEN(INDIRECT("'Ответы на форму (1)'!G"&amp;$L163,TRUE()))),INDIRECT("'Ответы на форму (1)'!G"&amp;$L163,TRUE()))</f>
        <v>#REF!</v>
      </c>
      <c r="H163" s="0" t="e">
        <f aca="true">INDIRECT("'Ответы на форму (1)'!H"&amp;$L163,TRUE())</f>
        <v>#REF!</v>
      </c>
      <c r="I163" s="1" t="s">
        <v>50</v>
      </c>
      <c r="J163" s="1" t="s">
        <v>40</v>
      </c>
      <c r="K163" s="0" t="e">
        <f aca="false" t="array" ref="K163:K163">IF(COUNTIF(concat(TRIM('Список прошлого года'!$B$2:$B$200),TRIM('Список прошлого года'!$C$2:$C$200)),concat(TRIM(B163),TRIM(C163))) &gt; 0,IF(concat(TRIM(B163),TRIM(C163)) = "","","Да"),"Нет")</f>
        <v>#NAME?</v>
      </c>
      <c r="L163" s="1" t="n">
        <v>191</v>
      </c>
      <c r="M163" s="1" t="n">
        <v>2</v>
      </c>
      <c r="O163" s="1" t="s">
        <v>50</v>
      </c>
    </row>
    <row r="164" customFormat="false" ht="15.75" hidden="false" customHeight="false" outlineLevel="0" collapsed="false">
      <c r="A164" s="7" t="e">
        <f aca="true">INDIRECT("'Ответы на форму (1)'!A"&amp;$L164,TRUE())</f>
        <v>#REF!</v>
      </c>
      <c r="B164" s="5" t="s">
        <v>715</v>
      </c>
      <c r="C164" s="5" t="s">
        <v>593</v>
      </c>
      <c r="D164" s="5" t="n">
        <v>8</v>
      </c>
      <c r="E164" s="5" t="n">
        <v>25</v>
      </c>
      <c r="F164" s="7" t="e">
        <f aca="true">INDIRECT("'Ответы на форму (1)'!F"&amp;$L164,TRUE())</f>
        <v>#REF!</v>
      </c>
      <c r="G164" s="7" t="e">
        <f aca="true">IFERROR(MID(INDIRECT("'Ответы на форму (1)'!G"&amp;$L164,TRUE()),SEARCH("vk.com",INDIRECT("'Ответы на форму (1)'!G"&amp;$L164,TRUE())),LEN(INDIRECT("'Ответы на форму (1)'!G"&amp;$L164,TRUE()))),INDIRECT("'Ответы на форму (1)'!G"&amp;$L164,TRUE()))</f>
        <v>#REF!</v>
      </c>
      <c r="H164" s="7" t="e">
        <f aca="true">INDIRECT("'Ответы на форму (1)'!H"&amp;$L164,TRUE())</f>
        <v>#REF!</v>
      </c>
      <c r="I164" s="5" t="s">
        <v>40</v>
      </c>
      <c r="J164" s="5" t="s">
        <v>23</v>
      </c>
      <c r="K164" s="7" t="e">
        <f aca="false" t="array" ref="K164:K164">IF(COUNTIF(concat(TRIM('Список прошлого года'!$B$2:$B$200),TRIM('Список прошлого года'!$C$2:$C$200)),concat(TRIM(B164),TRIM(C164))) &gt; 0,IF(concat(TRIM(B164),TRIM(C164)) = "","","Да"),"Нет")</f>
        <v>#NAME?</v>
      </c>
      <c r="L164" s="5" t="n">
        <v>190</v>
      </c>
      <c r="M164" s="5" t="n">
        <v>2</v>
      </c>
      <c r="N164" s="7"/>
      <c r="O164" s="5" t="s">
        <v>40</v>
      </c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5.75" hidden="false" customHeight="false" outlineLevel="0" collapsed="false">
      <c r="A165" s="0" t="e">
        <f aca="true">INDIRECT("'Ответы на форму (1)'!A"&amp;$L165,TRUE())</f>
        <v>#REF!</v>
      </c>
      <c r="B165" s="1" t="s">
        <v>716</v>
      </c>
      <c r="C165" s="1" t="s">
        <v>717</v>
      </c>
      <c r="D165" s="1" t="n">
        <v>9</v>
      </c>
      <c r="E165" s="1" t="n">
        <v>64</v>
      </c>
      <c r="F165" s="0" t="e">
        <f aca="true">INDIRECT("'Ответы на форму (1)'!F"&amp;$L165,TRUE())</f>
        <v>#REF!</v>
      </c>
      <c r="G165" s="0" t="e">
        <f aca="true">IFERROR(MID(INDIRECT("'Ответы на форму (1)'!G"&amp;$L165,TRUE()),SEARCH("vk.com",INDIRECT("'Ответы на форму (1)'!G"&amp;$L165,TRUE())),LEN(INDIRECT("'Ответы на форму (1)'!G"&amp;$L165,TRUE()))),INDIRECT("'Ответы на форму (1)'!G"&amp;$L165,TRUE()))</f>
        <v>#REF!</v>
      </c>
      <c r="H165" s="0" t="e">
        <f aca="true">INDIRECT("'Ответы на форму (1)'!H"&amp;$L165,TRUE())</f>
        <v>#REF!</v>
      </c>
      <c r="I165" s="1" t="s">
        <v>15</v>
      </c>
      <c r="J165" s="1" t="s">
        <v>718</v>
      </c>
      <c r="K165" s="0" t="e">
        <f aca="false" t="array" ref="K165:K165">IF(COUNTIF(concat(TRIM('Список прошлого года'!$B$2:$B$200),TRIM('Список прошлого года'!$C$2:$C$200)),concat(TRIM(B165),TRIM(C165))) &gt; 0,IF(concat(TRIM(B165),TRIM(C165)) = "","","Да"),"Нет")</f>
        <v>#NAME?</v>
      </c>
      <c r="L165" s="1" t="n">
        <v>192</v>
      </c>
      <c r="M165" s="1" t="n">
        <v>2</v>
      </c>
      <c r="O165" s="1" t="s">
        <v>15</v>
      </c>
    </row>
    <row r="166" customFormat="false" ht="15.75" hidden="false" customHeight="false" outlineLevel="0" collapsed="false">
      <c r="A166" s="0" t="e">
        <f aca="true">INDIRECT("'Ответы на форму (1)'!A"&amp;$L166,TRUE())</f>
        <v>#REF!</v>
      </c>
      <c r="B166" s="1" t="s">
        <v>719</v>
      </c>
      <c r="C166" s="1" t="s">
        <v>720</v>
      </c>
      <c r="D166" s="1" t="n">
        <v>7</v>
      </c>
      <c r="E166" s="1" t="n">
        <v>117</v>
      </c>
      <c r="F166" s="0" t="e">
        <f aca="true">INDIRECT("'Ответы на форму (1)'!F"&amp;$L166,TRUE())</f>
        <v>#REF!</v>
      </c>
      <c r="G166" s="3" t="s">
        <v>721</v>
      </c>
      <c r="H166" s="0" t="e">
        <f aca="true">INDIRECT("'Ответы на форму (1)'!H"&amp;$L166,TRUE())</f>
        <v>#REF!</v>
      </c>
      <c r="I166" s="1" t="s">
        <v>50</v>
      </c>
      <c r="J166" s="0" t="e">
        <f aca="true">INDIRECT("'Ответы на форму (1)'!J"&amp;$L166,TRUE())</f>
        <v>#REF!</v>
      </c>
      <c r="K166" s="0" t="e">
        <f aca="false" t="array" ref="K166:K166">IF(COUNTIF(concat(TRIM('Список прошлого года'!$B$2:$B$200),TRIM('Список прошлого года'!$C$2:$C$200)),concat(TRIM(B166),TRIM(C166))) &gt; 0,IF(concat(TRIM(B166),TRIM(C166)) = "","","Да"),"Нет")</f>
        <v>#NAME?</v>
      </c>
      <c r="L166" s="1" t="n">
        <v>194</v>
      </c>
      <c r="M166" s="1" t="n">
        <v>2</v>
      </c>
      <c r="O166" s="1" t="s">
        <v>50</v>
      </c>
    </row>
    <row r="167" customFormat="false" ht="15.75" hidden="false" customHeight="false" outlineLevel="0" collapsed="false">
      <c r="A167" s="7" t="e">
        <f aca="true">INDIRECT("'Ответы на форму (1)'!A"&amp;$L167,TRUE())</f>
        <v>#REF!</v>
      </c>
      <c r="B167" s="5" t="s">
        <v>722</v>
      </c>
      <c r="C167" s="5" t="s">
        <v>115</v>
      </c>
      <c r="D167" s="5" t="n">
        <v>9</v>
      </c>
      <c r="E167" s="5" t="n">
        <v>117</v>
      </c>
      <c r="F167" s="5" t="s">
        <v>723</v>
      </c>
      <c r="G167" s="14" t="s">
        <v>724</v>
      </c>
      <c r="H167" s="7" t="e">
        <f aca="true">INDIRECT("'Ответы на форму (1)'!H"&amp;$L167,TRUE())</f>
        <v>#REF!</v>
      </c>
      <c r="I167" s="7" t="s">
        <v>148</v>
      </c>
      <c r="J167" s="5" t="s">
        <v>85</v>
      </c>
      <c r="K167" s="7" t="e">
        <f aca="false" t="array" ref="K167:K167">IF(COUNTIF(concat(TRIM('Список прошлого года'!$B$2:$B$200),TRIM('Список прошлого года'!$C$2:$C$200)),concat(TRIM(B167),TRIM(C167))) &gt; 0,IF(concat(TRIM(B167),TRIM(C167)) = "","","Да"),"Нет")</f>
        <v>#NAME?</v>
      </c>
      <c r="L167" s="5" t="n">
        <v>195</v>
      </c>
      <c r="M167" s="5" t="n">
        <v>2</v>
      </c>
      <c r="N167" s="7"/>
      <c r="O167" s="7" t="s">
        <v>148</v>
      </c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5.75" hidden="false" customHeight="false" outlineLevel="0" collapsed="false">
      <c r="A168" s="16"/>
      <c r="B168" s="5" t="s">
        <v>725</v>
      </c>
      <c r="C168" s="5" t="s">
        <v>61</v>
      </c>
      <c r="D168" s="5" t="n">
        <v>9</v>
      </c>
      <c r="E168" s="5" t="n">
        <v>115</v>
      </c>
      <c r="F168" s="7" t="e">
        <f aca="true">INDIRECT("'Ответы на форму (1)'!F"&amp;$L168,TRUE())</f>
        <v>#REF!</v>
      </c>
      <c r="G168" s="14" t="s">
        <v>726</v>
      </c>
      <c r="H168" s="7" t="e">
        <f aca="true">INDIRECT("'Ответы на форму (1)'!H"&amp;$L168,TRUE())</f>
        <v>#REF!</v>
      </c>
      <c r="I168" s="5" t="s">
        <v>70</v>
      </c>
      <c r="J168" s="5" t="s">
        <v>51</v>
      </c>
      <c r="K168" s="7" t="e">
        <f aca="false" t="array" ref="K168:K168">IF(COUNTIF(concat(TRIM('Список прошлого года'!$B$2:$B$200),TRIM('Список прошлого года'!$C$2:$C$200)),concat(TRIM(B168),TRIM(C168))) &gt; 0,IF(concat(TRIM(B168),TRIM(C168)) = "","","Да"),"Нет")</f>
        <v>#NAME?</v>
      </c>
      <c r="L168" s="5" t="n">
        <v>178</v>
      </c>
      <c r="M168" s="1" t="n">
        <v>2</v>
      </c>
      <c r="O168" s="1" t="s">
        <v>70</v>
      </c>
    </row>
    <row r="169" customFormat="false" ht="15.75" hidden="false" customHeight="false" outlineLevel="0" collapsed="false">
      <c r="A169" s="16"/>
      <c r="B169" s="5" t="s">
        <v>727</v>
      </c>
      <c r="C169" s="5" t="s">
        <v>720</v>
      </c>
      <c r="D169" s="5" t="n">
        <v>9</v>
      </c>
      <c r="E169" s="5" t="n">
        <v>117</v>
      </c>
      <c r="F169" s="7" t="e">
        <f aca="true">INDIRECT("'Ответы на форму (1)'!F"&amp;$L169,TRUE())</f>
        <v>#REF!</v>
      </c>
      <c r="G169" s="14" t="s">
        <v>728</v>
      </c>
      <c r="H169" s="7" t="e">
        <f aca="true">INDIRECT("'Ответы на форму (1)'!H"&amp;$L169,TRUE())</f>
        <v>#REF!</v>
      </c>
      <c r="I169" s="5" t="s">
        <v>22</v>
      </c>
      <c r="J169" s="5" t="s">
        <v>40</v>
      </c>
      <c r="K169" s="7" t="e">
        <f aca="false" t="array" ref="K169:K169">IF(COUNTIF(concat(TRIM('Список прошлого года'!$B$2:$B$200),TRIM('Список прошлого года'!$C$2:$C$200)),concat(TRIM(B169),TRIM(C169))) &gt; 0,IF(concat(TRIM(B169),TRIM(C169)) = "","","Да"),"Нет")</f>
        <v>#NAME?</v>
      </c>
      <c r="L169" s="5" t="n">
        <v>180</v>
      </c>
      <c r="M169" s="1" t="n">
        <v>2</v>
      </c>
      <c r="O169" s="1" t="s">
        <v>22</v>
      </c>
    </row>
    <row r="170" customFormat="false" ht="15.75" hidden="false" customHeight="false" outlineLevel="0" collapsed="false">
      <c r="A170" s="16"/>
      <c r="B170" s="5" t="s">
        <v>729</v>
      </c>
      <c r="C170" s="5" t="s">
        <v>730</v>
      </c>
      <c r="D170" s="5" t="n">
        <v>9</v>
      </c>
      <c r="E170" s="5" t="n">
        <v>115</v>
      </c>
      <c r="F170" s="7" t="e">
        <f aca="true">INDIRECT("'Ответы на форму (1)'!F"&amp;$L170,TRUE())</f>
        <v>#REF!</v>
      </c>
      <c r="G170" s="14" t="s">
        <v>731</v>
      </c>
      <c r="H170" s="7" t="e">
        <f aca="true">INDIRECT("'Ответы на форму (1)'!H"&amp;$L170,TRUE())</f>
        <v>#REF!</v>
      </c>
      <c r="I170" s="5" t="s">
        <v>40</v>
      </c>
      <c r="J170" s="5" t="s">
        <v>109</v>
      </c>
      <c r="K170" s="7" t="e">
        <f aca="false" t="array" ref="K170:K170">IF(COUNTIF(concat(TRIM('Список прошлого года'!$B$2:$B$200),TRIM('Список прошлого года'!$C$2:$C$200)),concat(TRIM(B170),TRIM(C170))) &gt; 0,IF(concat(TRIM(B170),TRIM(C170)) = "","","Да"),"Нет")</f>
        <v>#NAME?</v>
      </c>
      <c r="L170" s="5" t="n">
        <v>179</v>
      </c>
      <c r="M170" s="5" t="n">
        <v>2</v>
      </c>
      <c r="O170" s="1" t="s">
        <v>40</v>
      </c>
    </row>
    <row r="171" customFormat="false" ht="15.75" hidden="false" customHeight="false" outlineLevel="0" collapsed="false">
      <c r="A171" s="16"/>
      <c r="B171" s="5" t="s">
        <v>732</v>
      </c>
      <c r="C171" s="5" t="s">
        <v>593</v>
      </c>
      <c r="D171" s="5" t="n">
        <v>7</v>
      </c>
      <c r="E171" s="5" t="n">
        <v>117</v>
      </c>
      <c r="F171" s="7" t="e">
        <f aca="true">INDIRECT("'Ответы на форму (1)'!F"&amp;$L171,TRUE())</f>
        <v>#REF!</v>
      </c>
      <c r="G171" s="14" t="s">
        <v>733</v>
      </c>
      <c r="H171" s="7" t="e">
        <f aca="true">INDIRECT("'Ответы на форму (1)'!H"&amp;$L171,TRUE())</f>
        <v>#REF!</v>
      </c>
      <c r="I171" s="5" t="s">
        <v>40</v>
      </c>
      <c r="J171" s="5" t="s">
        <v>85</v>
      </c>
      <c r="K171" s="5" t="s">
        <v>43</v>
      </c>
      <c r="L171" s="5" t="n">
        <v>176</v>
      </c>
      <c r="M171" s="1" t="n">
        <v>2</v>
      </c>
      <c r="O171" s="1" t="s">
        <v>40</v>
      </c>
    </row>
    <row r="172" customFormat="false" ht="15.75" hidden="false" customHeight="false" outlineLevel="0" collapsed="false">
      <c r="A172" s="16"/>
      <c r="B172" s="5" t="s">
        <v>734</v>
      </c>
      <c r="C172" s="5" t="s">
        <v>190</v>
      </c>
      <c r="D172" s="5" t="n">
        <v>9</v>
      </c>
      <c r="E172" s="5" t="n">
        <v>149</v>
      </c>
      <c r="F172" s="7" t="e">
        <f aca="true">INDIRECT("'Ответы на форму (1)'!F"&amp;$L172,TRUE())</f>
        <v>#REF!</v>
      </c>
      <c r="G172" s="14" t="s">
        <v>735</v>
      </c>
      <c r="H172" s="7" t="e">
        <f aca="true">INDIRECT("'Ответы на форму (1)'!H"&amp;$L172,TRUE())</f>
        <v>#REF!</v>
      </c>
      <c r="I172" s="5" t="s">
        <v>14</v>
      </c>
      <c r="J172" s="5" t="s">
        <v>85</v>
      </c>
      <c r="K172" s="7" t="e">
        <f aca="false" t="array" ref="K172:K172">IF(COUNTIF(concat(TRIM('Список прошлого года'!$B$2:$B$200),TRIM('Список прошлого года'!$C$2:$C$200)),concat(TRIM(B172),TRIM(C172))) &gt; 0,IF(concat(TRIM(B172),TRIM(C172)) = "","","Да"),"Нет")</f>
        <v>#NAME?</v>
      </c>
      <c r="L172" s="5" t="n">
        <v>177</v>
      </c>
      <c r="M172" s="1" t="n">
        <v>2</v>
      </c>
      <c r="O172" s="1" t="s">
        <v>14</v>
      </c>
    </row>
    <row r="173" customFormat="false" ht="15.75" hidden="false" customHeight="false" outlineLevel="0" collapsed="false">
      <c r="A173" s="0" t="e">
        <f aca="true">INDIRECT("'Ответы на форму (1)'!A"&amp;$L173,TRUE())</f>
        <v>#REF!</v>
      </c>
      <c r="B173" s="0" t="e">
        <f aca="true">INDIRECT("'Ответы на форму (1)'!B"&amp;$L173,TRUE())</f>
        <v>#REF!</v>
      </c>
      <c r="C173" s="0" t="e">
        <f aca="true">INDIRECT("'Ответы на форму (1)'!C"&amp;$L173,TRUE())</f>
        <v>#REF!</v>
      </c>
      <c r="D173" s="0" t="e">
        <f aca="true">INDIRECT("'Ответы на форму (1)'!D"&amp;$L173,TRUE())</f>
        <v>#REF!</v>
      </c>
      <c r="E173" s="0" t="str">
        <f aca="false">IFERROR(__xludf.dummyfunction("iferror(VALUE(REGEXEXTRACT(TEXT(INDIRECT(""'Ответы на форму (1)'!E""&amp;$L173,TRUE),""####""),""[0-9]+"")),INDIRECT(""'Ответы на форму (1)'!E""&amp;$L173,TRUE))"),"")</f>
        <v/>
      </c>
      <c r="F173" s="0" t="e">
        <f aca="true">INDIRECT("'Ответы на форму (1)'!F"&amp;$L173,TRUE())</f>
        <v>#REF!</v>
      </c>
      <c r="G173" s="0" t="e">
        <f aca="true">IFERROR(MID(INDIRECT("'Ответы на форму (1)'!G"&amp;$L173,TRUE()),SEARCH("vk.com",INDIRECT("'Ответы на форму (1)'!G"&amp;$L173,TRUE())),LEN(INDIRECT("'Ответы на форму (1)'!G"&amp;$L173,TRUE()))),INDIRECT("'Ответы на форму (1)'!G"&amp;$L173,TRUE()))</f>
        <v>#REF!</v>
      </c>
      <c r="H173" s="0" t="e">
        <f aca="true">INDIRECT("'Ответы на форму (1)'!H"&amp;$L173,TRUE())</f>
        <v>#REF!</v>
      </c>
      <c r="I173" s="0" t="e">
        <f aca="true">INDIRECT("'Ответы на форму (1)'!I"&amp;$L173,TRUE())</f>
        <v>#REF!</v>
      </c>
      <c r="J173" s="0" t="e">
        <f aca="true">INDIRECT("'Ответы на форму (1)'!J"&amp;$L173,TRUE())</f>
        <v>#REF!</v>
      </c>
      <c r="K173" s="0" t="e">
        <f aca="false" t="array" ref="K173:K173">IF(COUNTIF(concat(TRIM('Список прошлого года'!$B$2:$B$200),TRIM('Список прошлого года'!$C$2:$C$200)),concat(TRIM(B173),TRIM(C173))) &gt; 0,IF(concat(TRIM(B173),TRIM(C173)) = "","","Да"),"Нет")</f>
        <v>#NAME?</v>
      </c>
      <c r="L173" s="1" t="n">
        <v>201</v>
      </c>
      <c r="M173" s="5"/>
    </row>
  </sheetData>
  <hyperlinks>
    <hyperlink ref="G153" r:id="rId2" display="https://vk.com/mylucky_strike"/>
    <hyperlink ref="G154" r:id="rId3" display="https://vk.com/id409884286"/>
    <hyperlink ref="G155" r:id="rId4" display="https://vk.com/d.polyakova1"/>
    <hyperlink ref="G158" r:id="rId5" display="https://vk.com/id306756810"/>
    <hyperlink ref="G159" r:id="rId6" display="https://vk.com/shdoo"/>
    <hyperlink ref="G160" r:id="rId7" display="https://vk.com/ilya_kuzin"/>
    <hyperlink ref="G161" r:id="rId8" display="https://vk.com/mariasmb"/>
    <hyperlink ref="G166" r:id="rId9" display="vk.com/sasashasas"/>
    <hyperlink ref="G167" r:id="rId10" display="https://vk.com/fuyock"/>
    <hyperlink ref="G168" r:id="rId11" display="https://vk.com/m.christmas27"/>
    <hyperlink ref="G169" r:id="rId12" display="https://vk.com/alexandrinioo"/>
    <hyperlink ref="G170" r:id="rId13" display="https://vk.com/luka5s5"/>
    <hyperlink ref="G171" r:id="rId14" display="https://vk.com/belimcatherine"/>
    <hyperlink ref="G172" r:id="rId15" display="https://vk.com/keaker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4" min="4" style="0" width="23.88"/>
  </cols>
  <sheetData>
    <row r="1" customFormat="false" ht="15.75" hidden="false" customHeight="false" outlineLevel="0" collapsed="false">
      <c r="A1" s="17" t="s">
        <v>1</v>
      </c>
      <c r="B1" s="17" t="s">
        <v>2</v>
      </c>
      <c r="C1" s="17" t="s">
        <v>736</v>
      </c>
      <c r="D1" s="18" t="s">
        <v>737</v>
      </c>
      <c r="E1" s="18" t="s">
        <v>738</v>
      </c>
    </row>
    <row r="2" customFormat="false" ht="15.75" hidden="false" customHeight="false" outlineLevel="0" collapsed="false">
      <c r="A2" s="0" t="s">
        <v>604</v>
      </c>
      <c r="B2" s="0" t="s">
        <v>605</v>
      </c>
      <c r="C2" s="0" t="n">
        <v>117</v>
      </c>
      <c r="D2" s="19" t="s">
        <v>70</v>
      </c>
      <c r="E2" s="19" t="s">
        <v>65</v>
      </c>
    </row>
    <row r="3" customFormat="false" ht="15.75" hidden="false" customHeight="false" outlineLevel="0" collapsed="false">
      <c r="A3" s="0" t="s">
        <v>176</v>
      </c>
      <c r="B3" s="0" t="s">
        <v>155</v>
      </c>
      <c r="C3" s="0" t="n">
        <v>66</v>
      </c>
      <c r="D3" s="19" t="s">
        <v>50</v>
      </c>
      <c r="E3" s="19" t="s">
        <v>40</v>
      </c>
    </row>
    <row r="4" customFormat="false" ht="15.75" hidden="false" customHeight="false" outlineLevel="0" collapsed="false">
      <c r="A4" s="0" t="s">
        <v>66</v>
      </c>
      <c r="B4" s="0" t="s">
        <v>67</v>
      </c>
      <c r="C4" s="0" t="n">
        <v>117</v>
      </c>
      <c r="D4" s="19" t="s">
        <v>70</v>
      </c>
      <c r="E4" s="19" t="s">
        <v>51</v>
      </c>
    </row>
    <row r="5" customFormat="false" ht="15.75" hidden="false" customHeight="false" outlineLevel="0" collapsed="false">
      <c r="A5" s="0" t="s">
        <v>335</v>
      </c>
      <c r="B5" s="0" t="s">
        <v>222</v>
      </c>
      <c r="C5" s="0" t="n">
        <v>117</v>
      </c>
      <c r="D5" s="19" t="s">
        <v>51</v>
      </c>
      <c r="E5" s="19" t="s">
        <v>65</v>
      </c>
    </row>
    <row r="6" customFormat="false" ht="15.75" hidden="false" customHeight="false" outlineLevel="0" collapsed="false">
      <c r="A6" s="0" t="s">
        <v>536</v>
      </c>
      <c r="B6" s="0" t="s">
        <v>537</v>
      </c>
      <c r="C6" s="0" t="n">
        <v>117</v>
      </c>
      <c r="D6" s="19" t="s">
        <v>40</v>
      </c>
      <c r="E6" s="19" t="s">
        <v>65</v>
      </c>
    </row>
    <row r="7" customFormat="false" ht="15.75" hidden="false" customHeight="false" outlineLevel="0" collapsed="false">
      <c r="A7" s="0" t="s">
        <v>349</v>
      </c>
      <c r="B7" s="0" t="s">
        <v>350</v>
      </c>
      <c r="C7" s="0" t="n">
        <v>64</v>
      </c>
      <c r="D7" s="19" t="s">
        <v>80</v>
      </c>
      <c r="E7" s="19" t="s">
        <v>51</v>
      </c>
    </row>
    <row r="8" customFormat="false" ht="15.75" hidden="false" customHeight="false" outlineLevel="0" collapsed="false">
      <c r="A8" s="0" t="s">
        <v>578</v>
      </c>
      <c r="B8" s="0" t="s">
        <v>579</v>
      </c>
      <c r="C8" s="0" t="n">
        <v>64</v>
      </c>
      <c r="D8" s="19" t="s">
        <v>15</v>
      </c>
      <c r="E8" s="19" t="s">
        <v>40</v>
      </c>
    </row>
    <row r="9" customFormat="false" ht="15.75" hidden="false" customHeight="false" outlineLevel="0" collapsed="false">
      <c r="A9" s="0" t="s">
        <v>585</v>
      </c>
      <c r="B9" s="0" t="s">
        <v>586</v>
      </c>
      <c r="C9" s="0" t="n">
        <v>117</v>
      </c>
      <c r="D9" s="19" t="s">
        <v>15</v>
      </c>
      <c r="E9" s="19" t="s">
        <v>40</v>
      </c>
    </row>
    <row r="10" customFormat="false" ht="15.75" hidden="false" customHeight="false" outlineLevel="0" collapsed="false">
      <c r="A10" s="0" t="s">
        <v>424</v>
      </c>
      <c r="B10" s="0" t="s">
        <v>237</v>
      </c>
      <c r="C10" s="0" t="n">
        <v>117</v>
      </c>
      <c r="D10" s="19" t="s">
        <v>40</v>
      </c>
      <c r="E10" s="19" t="s">
        <v>85</v>
      </c>
    </row>
    <row r="11" customFormat="false" ht="15.75" hidden="false" customHeight="false" outlineLevel="0" collapsed="false">
      <c r="A11" s="0" t="s">
        <v>221</v>
      </c>
      <c r="B11" s="0" t="s">
        <v>222</v>
      </c>
      <c r="C11" s="0" t="n">
        <v>19</v>
      </c>
      <c r="D11" s="19" t="s">
        <v>15</v>
      </c>
      <c r="E11" s="19" t="s">
        <v>148</v>
      </c>
    </row>
    <row r="12" customFormat="false" ht="15.75" hidden="false" customHeight="false" outlineLevel="0" collapsed="false">
      <c r="A12" s="0" t="s">
        <v>437</v>
      </c>
      <c r="B12" s="0" t="s">
        <v>97</v>
      </c>
      <c r="C12" s="0" t="n">
        <v>123</v>
      </c>
      <c r="D12" s="19" t="s">
        <v>70</v>
      </c>
      <c r="E12" s="19" t="s">
        <v>23</v>
      </c>
    </row>
    <row r="13" customFormat="false" ht="15.75" hidden="false" customHeight="false" outlineLevel="0" collapsed="false">
      <c r="A13" s="1" t="s">
        <v>732</v>
      </c>
      <c r="B13" s="1" t="s">
        <v>593</v>
      </c>
      <c r="C13" s="1" t="n">
        <v>117</v>
      </c>
      <c r="D13" s="19" t="s">
        <v>40</v>
      </c>
      <c r="E13" s="19" t="s">
        <v>85</v>
      </c>
    </row>
    <row r="14" customFormat="false" ht="15.75" hidden="false" customHeight="false" outlineLevel="0" collapsed="false">
      <c r="A14" s="1" t="s">
        <v>713</v>
      </c>
      <c r="B14" s="1" t="s">
        <v>714</v>
      </c>
      <c r="C14" s="1" t="n">
        <v>117</v>
      </c>
      <c r="D14" s="19" t="s">
        <v>50</v>
      </c>
      <c r="E14" s="19" t="s">
        <v>40</v>
      </c>
    </row>
    <row r="15" customFormat="false" ht="15.75" hidden="false" customHeight="false" outlineLevel="0" collapsed="false">
      <c r="A15" s="0" t="s">
        <v>30</v>
      </c>
      <c r="B15" s="0" t="s">
        <v>31</v>
      </c>
      <c r="C15" s="0" t="n">
        <v>117</v>
      </c>
      <c r="D15" s="19" t="s">
        <v>15</v>
      </c>
      <c r="E15" s="19" t="s">
        <v>22</v>
      </c>
    </row>
    <row r="16" customFormat="false" ht="15.75" hidden="false" customHeight="false" outlineLevel="0" collapsed="false">
      <c r="A16" s="0" t="s">
        <v>244</v>
      </c>
      <c r="B16" s="0" t="s">
        <v>230</v>
      </c>
      <c r="C16" s="0" t="n">
        <v>117</v>
      </c>
      <c r="D16" s="19" t="s">
        <v>22</v>
      </c>
      <c r="E16" s="19" t="s">
        <v>15</v>
      </c>
    </row>
    <row r="17" customFormat="false" ht="15.75" hidden="false" customHeight="false" outlineLevel="0" collapsed="false">
      <c r="A17" s="0" t="s">
        <v>465</v>
      </c>
      <c r="B17" s="0" t="s">
        <v>466</v>
      </c>
      <c r="C17" s="0" t="n">
        <v>139</v>
      </c>
      <c r="D17" s="19" t="s">
        <v>29</v>
      </c>
      <c r="E17" s="19" t="s">
        <v>40</v>
      </c>
    </row>
    <row r="18" customFormat="false" ht="15.75" hidden="false" customHeight="false" outlineLevel="0" collapsed="false">
      <c r="A18" s="0" t="s">
        <v>627</v>
      </c>
      <c r="B18" s="0" t="s">
        <v>628</v>
      </c>
      <c r="C18" s="0" t="n">
        <v>117</v>
      </c>
      <c r="D18" s="19" t="s">
        <v>22</v>
      </c>
      <c r="E18" s="19" t="s">
        <v>65</v>
      </c>
    </row>
    <row r="19" customFormat="false" ht="15.75" hidden="false" customHeight="false" outlineLevel="0" collapsed="false">
      <c r="A19" s="1" t="s">
        <v>627</v>
      </c>
      <c r="B19" s="1" t="s">
        <v>628</v>
      </c>
      <c r="C19" s="1" t="n">
        <v>117</v>
      </c>
      <c r="D19" s="19" t="s">
        <v>22</v>
      </c>
      <c r="E19" s="19" t="s">
        <v>40</v>
      </c>
    </row>
    <row r="20" customFormat="false" ht="15.75" hidden="false" customHeight="false" outlineLevel="0" collapsed="false">
      <c r="A20" s="0" t="s">
        <v>263</v>
      </c>
      <c r="B20" s="0" t="s">
        <v>264</v>
      </c>
      <c r="C20" s="0" t="n">
        <v>117</v>
      </c>
      <c r="D20" s="19" t="s">
        <v>51</v>
      </c>
      <c r="E20" s="19" t="s">
        <v>65</v>
      </c>
    </row>
    <row r="21" customFormat="false" ht="15.75" hidden="false" customHeight="false" outlineLevel="0" collapsed="false">
      <c r="A21" s="0" t="s">
        <v>446</v>
      </c>
      <c r="B21" s="0" t="s">
        <v>237</v>
      </c>
      <c r="C21" s="0" t="n">
        <v>166</v>
      </c>
      <c r="D21" s="19" t="s">
        <v>29</v>
      </c>
      <c r="E21" s="19" t="s">
        <v>109</v>
      </c>
    </row>
    <row r="22" customFormat="false" ht="15.75" hidden="false" customHeight="false" outlineLevel="0" collapsed="false">
      <c r="A22" s="0" t="s">
        <v>81</v>
      </c>
      <c r="B22" s="0" t="s">
        <v>61</v>
      </c>
      <c r="C22" s="0" t="n">
        <v>117</v>
      </c>
      <c r="D22" s="19" t="s">
        <v>50</v>
      </c>
      <c r="E22" s="19" t="s">
        <v>85</v>
      </c>
    </row>
    <row r="23" customFormat="false" ht="15.75" hidden="false" customHeight="false" outlineLevel="0" collapsed="false">
      <c r="A23" s="0" t="s">
        <v>382</v>
      </c>
      <c r="B23" s="0" t="s">
        <v>383</v>
      </c>
      <c r="C23" s="0" t="n">
        <v>64</v>
      </c>
      <c r="D23" s="19" t="s">
        <v>180</v>
      </c>
      <c r="E23" s="19" t="s">
        <v>51</v>
      </c>
    </row>
    <row r="24" customFormat="false" ht="15.75" hidden="false" customHeight="false" outlineLevel="0" collapsed="false">
      <c r="A24" s="0" t="s">
        <v>433</v>
      </c>
      <c r="B24" s="0" t="s">
        <v>67</v>
      </c>
      <c r="C24" s="0" t="n">
        <v>117</v>
      </c>
      <c r="D24" s="19" t="s">
        <v>15</v>
      </c>
      <c r="E24" s="19" t="s">
        <v>22</v>
      </c>
    </row>
    <row r="25" customFormat="false" ht="15.75" hidden="false" customHeight="false" outlineLevel="0" collapsed="false">
      <c r="A25" s="0" t="s">
        <v>24</v>
      </c>
      <c r="B25" s="0" t="s">
        <v>25</v>
      </c>
      <c r="C25" s="0" t="n">
        <v>117</v>
      </c>
      <c r="D25" s="19" t="s">
        <v>29</v>
      </c>
      <c r="E25" s="19" t="s">
        <v>23</v>
      </c>
    </row>
    <row r="26" customFormat="false" ht="15.75" hidden="false" customHeight="false" outlineLevel="0" collapsed="false">
      <c r="A26" s="0" t="s">
        <v>119</v>
      </c>
      <c r="B26" s="0" t="s">
        <v>120</v>
      </c>
      <c r="C26" s="0" t="n">
        <v>149</v>
      </c>
      <c r="D26" s="19" t="s">
        <v>80</v>
      </c>
      <c r="E26" s="19" t="s">
        <v>45</v>
      </c>
    </row>
    <row r="27" customFormat="false" ht="15.75" hidden="false" customHeight="false" outlineLevel="0" collapsed="false">
      <c r="A27" s="0" t="s">
        <v>106</v>
      </c>
      <c r="B27" s="0" t="s">
        <v>36</v>
      </c>
      <c r="C27" s="0" t="n">
        <v>64</v>
      </c>
      <c r="D27" s="19" t="s">
        <v>14</v>
      </c>
      <c r="E27" s="19" t="s">
        <v>109</v>
      </c>
    </row>
    <row r="28" customFormat="false" ht="15.75" hidden="false" customHeight="false" outlineLevel="0" collapsed="false">
      <c r="A28" s="0" t="s">
        <v>650</v>
      </c>
      <c r="B28" s="0" t="s">
        <v>651</v>
      </c>
      <c r="C28" s="0" t="n">
        <v>56</v>
      </c>
      <c r="D28" s="19" t="s">
        <v>148</v>
      </c>
      <c r="E28" s="19" t="s">
        <v>65</v>
      </c>
    </row>
    <row r="29" customFormat="false" ht="15.75" hidden="false" customHeight="false" outlineLevel="0" collapsed="false">
      <c r="A29" s="0" t="s">
        <v>10</v>
      </c>
      <c r="B29" s="0" t="s">
        <v>11</v>
      </c>
      <c r="C29" s="0" t="n">
        <v>98</v>
      </c>
      <c r="D29" s="19" t="s">
        <v>14</v>
      </c>
      <c r="E29" s="19" t="s">
        <v>15</v>
      </c>
    </row>
    <row r="30" customFormat="false" ht="15.75" hidden="false" customHeight="false" outlineLevel="0" collapsed="false">
      <c r="A30" s="0" t="s">
        <v>558</v>
      </c>
      <c r="B30" s="0" t="s">
        <v>364</v>
      </c>
      <c r="C30" s="0" t="n">
        <v>36</v>
      </c>
      <c r="D30" s="19" t="s">
        <v>70</v>
      </c>
      <c r="E30" s="19" t="s">
        <v>51</v>
      </c>
    </row>
    <row r="31" customFormat="false" ht="15.75" hidden="false" customHeight="false" outlineLevel="0" collapsed="false">
      <c r="A31" s="0" t="s">
        <v>516</v>
      </c>
      <c r="B31" s="0" t="s">
        <v>517</v>
      </c>
      <c r="C31" s="0" t="n">
        <v>117</v>
      </c>
      <c r="D31" s="19" t="s">
        <v>22</v>
      </c>
      <c r="E31" s="19" t="s">
        <v>22</v>
      </c>
    </row>
    <row r="32" customFormat="false" ht="15.75" hidden="false" customHeight="false" outlineLevel="0" collapsed="false">
      <c r="A32" s="0" t="s">
        <v>52</v>
      </c>
      <c r="B32" s="0" t="s">
        <v>71</v>
      </c>
      <c r="C32" s="0" t="n">
        <v>117</v>
      </c>
      <c r="D32" s="19" t="s">
        <v>14</v>
      </c>
      <c r="E32" s="19" t="s">
        <v>15</v>
      </c>
    </row>
    <row r="33" customFormat="false" ht="15.75" hidden="false" customHeight="false" outlineLevel="0" collapsed="false">
      <c r="A33" s="0" t="s">
        <v>52</v>
      </c>
      <c r="B33" s="0" t="s">
        <v>53</v>
      </c>
      <c r="C33" s="0" t="n">
        <v>117</v>
      </c>
      <c r="D33" s="19" t="s">
        <v>22</v>
      </c>
      <c r="E33" s="19" t="s">
        <v>15</v>
      </c>
    </row>
    <row r="34" customFormat="false" ht="15.75" hidden="false" customHeight="false" outlineLevel="0" collapsed="false">
      <c r="A34" s="0" t="s">
        <v>226</v>
      </c>
      <c r="B34" s="0" t="s">
        <v>230</v>
      </c>
      <c r="C34" s="0" t="n">
        <v>117</v>
      </c>
      <c r="D34" s="19" t="s">
        <v>14</v>
      </c>
      <c r="E34" s="19" t="s">
        <v>148</v>
      </c>
    </row>
    <row r="35" customFormat="false" ht="15.75" hidden="false" customHeight="false" outlineLevel="0" collapsed="false">
      <c r="A35" s="0" t="s">
        <v>368</v>
      </c>
      <c r="B35" s="0" t="s">
        <v>120</v>
      </c>
      <c r="C35" s="0" t="n">
        <v>19</v>
      </c>
      <c r="D35" s="19" t="s">
        <v>29</v>
      </c>
      <c r="E35" s="19" t="s">
        <v>109</v>
      </c>
    </row>
    <row r="36" customFormat="false" ht="15.75" hidden="false" customHeight="false" outlineLevel="0" collapsed="false">
      <c r="A36" s="0" t="s">
        <v>646</v>
      </c>
      <c r="B36" s="0" t="s">
        <v>647</v>
      </c>
      <c r="C36" s="0" t="n">
        <v>117</v>
      </c>
      <c r="D36" s="19" t="s">
        <v>51</v>
      </c>
      <c r="E36" s="19" t="s">
        <v>65</v>
      </c>
    </row>
    <row r="37" customFormat="false" ht="15.75" hidden="false" customHeight="false" outlineLevel="0" collapsed="false">
      <c r="A37" s="0" t="s">
        <v>214</v>
      </c>
      <c r="B37" s="0" t="s">
        <v>215</v>
      </c>
      <c r="C37" s="0" t="n">
        <v>117</v>
      </c>
      <c r="D37" s="19" t="s">
        <v>14</v>
      </c>
      <c r="E37" s="19" t="s">
        <v>65</v>
      </c>
    </row>
    <row r="38" customFormat="false" ht="15.75" hidden="false" customHeight="false" outlineLevel="0" collapsed="false">
      <c r="A38" s="0" t="s">
        <v>247</v>
      </c>
      <c r="B38" s="0" t="s">
        <v>195</v>
      </c>
      <c r="C38" s="0" t="n">
        <v>117</v>
      </c>
      <c r="D38" s="19" t="s">
        <v>70</v>
      </c>
      <c r="E38" s="19" t="s">
        <v>23</v>
      </c>
    </row>
    <row r="39" customFormat="false" ht="15.75" hidden="false" customHeight="false" outlineLevel="0" collapsed="false">
      <c r="A39" s="0" t="s">
        <v>272</v>
      </c>
      <c r="B39" s="0" t="s">
        <v>273</v>
      </c>
      <c r="C39" s="0" t="n">
        <v>64</v>
      </c>
      <c r="D39" s="19" t="s">
        <v>50</v>
      </c>
      <c r="E39" s="19" t="s">
        <v>85</v>
      </c>
    </row>
    <row r="40" customFormat="false" ht="15.75" hidden="false" customHeight="false" outlineLevel="0" collapsed="false">
      <c r="A40" s="1" t="s">
        <v>727</v>
      </c>
      <c r="B40" s="1" t="s">
        <v>720</v>
      </c>
      <c r="C40" s="1" t="n">
        <v>117</v>
      </c>
      <c r="D40" s="19" t="s">
        <v>22</v>
      </c>
      <c r="E40" s="19" t="s">
        <v>40</v>
      </c>
    </row>
    <row r="41" customFormat="false" ht="15.75" hidden="false" customHeight="false" outlineLevel="0" collapsed="false">
      <c r="A41" s="0" t="s">
        <v>35</v>
      </c>
      <c r="B41" s="0" t="s">
        <v>36</v>
      </c>
      <c r="C41" s="0" t="n">
        <v>117</v>
      </c>
      <c r="D41" s="19" t="s">
        <v>40</v>
      </c>
      <c r="E41" s="19" t="s">
        <v>23</v>
      </c>
    </row>
    <row r="42" customFormat="false" ht="15.75" hidden="false" customHeight="false" outlineLevel="0" collapsed="false">
      <c r="A42" s="0" t="s">
        <v>398</v>
      </c>
      <c r="B42" s="0" t="s">
        <v>350</v>
      </c>
      <c r="C42" s="0" t="n">
        <v>117</v>
      </c>
      <c r="D42" s="19" t="s">
        <v>14</v>
      </c>
      <c r="E42" s="19" t="s">
        <v>65</v>
      </c>
    </row>
    <row r="43" customFormat="false" ht="15.75" hidden="false" customHeight="false" outlineLevel="0" collapsed="false">
      <c r="A43" s="0" t="s">
        <v>181</v>
      </c>
      <c r="B43" s="0" t="s">
        <v>182</v>
      </c>
      <c r="C43" s="0" t="n">
        <v>17</v>
      </c>
      <c r="D43" s="19" t="s">
        <v>50</v>
      </c>
      <c r="E43" s="19" t="s">
        <v>15</v>
      </c>
    </row>
    <row r="44" customFormat="false" ht="15.75" hidden="false" customHeight="false" outlineLevel="0" collapsed="false">
      <c r="A44" s="0" t="s">
        <v>149</v>
      </c>
      <c r="B44" s="0" t="s">
        <v>150</v>
      </c>
      <c r="C44" s="0" t="n">
        <v>17</v>
      </c>
      <c r="D44" s="19" t="s">
        <v>22</v>
      </c>
      <c r="E44" s="19" t="s">
        <v>85</v>
      </c>
    </row>
    <row r="45" customFormat="false" ht="15.75" hidden="false" customHeight="false" outlineLevel="0" collapsed="false">
      <c r="A45" s="0" t="s">
        <v>298</v>
      </c>
      <c r="B45" s="0" t="s">
        <v>230</v>
      </c>
      <c r="C45" s="0" t="s">
        <v>299</v>
      </c>
      <c r="D45" s="19" t="s">
        <v>14</v>
      </c>
      <c r="E45" s="19" t="s">
        <v>51</v>
      </c>
    </row>
    <row r="46" customFormat="false" ht="15.75" hidden="false" customHeight="false" outlineLevel="0" collapsed="false">
      <c r="A46" s="1" t="s">
        <v>715</v>
      </c>
      <c r="B46" s="1" t="s">
        <v>593</v>
      </c>
      <c r="C46" s="1" t="n">
        <v>25</v>
      </c>
      <c r="D46" s="19" t="s">
        <v>40</v>
      </c>
      <c r="E46" s="19" t="s">
        <v>23</v>
      </c>
    </row>
    <row r="47" customFormat="false" ht="15.75" hidden="false" customHeight="false" outlineLevel="0" collapsed="false">
      <c r="A47" s="0" t="s">
        <v>123</v>
      </c>
      <c r="B47" s="0" t="s">
        <v>124</v>
      </c>
      <c r="C47" s="0" t="n">
        <v>117</v>
      </c>
      <c r="D47" s="19" t="s">
        <v>29</v>
      </c>
      <c r="E47" s="19" t="s">
        <v>128</v>
      </c>
    </row>
    <row r="48" customFormat="false" ht="15.75" hidden="false" customHeight="false" outlineLevel="0" collapsed="false">
      <c r="A48" s="0" t="s">
        <v>615</v>
      </c>
      <c r="B48" s="0" t="s">
        <v>537</v>
      </c>
      <c r="C48" s="0" t="n">
        <v>64</v>
      </c>
      <c r="D48" s="19" t="s">
        <v>70</v>
      </c>
      <c r="E48" s="19" t="s">
        <v>85</v>
      </c>
    </row>
    <row r="49" customFormat="false" ht="15.75" hidden="false" customHeight="false" outlineLevel="0" collapsed="false">
      <c r="A49" s="0" t="s">
        <v>482</v>
      </c>
      <c r="B49" s="0" t="s">
        <v>483</v>
      </c>
      <c r="C49" s="0" t="n">
        <v>64</v>
      </c>
      <c r="D49" s="19" t="s">
        <v>40</v>
      </c>
      <c r="E49" s="19" t="s">
        <v>128</v>
      </c>
    </row>
    <row r="50" customFormat="false" ht="15.75" hidden="false" customHeight="false" outlineLevel="0" collapsed="false">
      <c r="A50" s="0" t="s">
        <v>91</v>
      </c>
      <c r="B50" s="0" t="s">
        <v>92</v>
      </c>
      <c r="C50" s="0" t="n">
        <v>34</v>
      </c>
      <c r="D50" s="19" t="s">
        <v>50</v>
      </c>
      <c r="E50" s="19" t="s">
        <v>23</v>
      </c>
    </row>
    <row r="51" customFormat="false" ht="15.75" hidden="false" customHeight="false" outlineLevel="0" collapsed="false">
      <c r="A51" s="0" t="s">
        <v>331</v>
      </c>
      <c r="B51" s="0" t="s">
        <v>332</v>
      </c>
      <c r="C51" s="0" t="n">
        <v>117</v>
      </c>
      <c r="D51" s="19" t="s">
        <v>70</v>
      </c>
      <c r="E51" s="19" t="s">
        <v>85</v>
      </c>
    </row>
    <row r="52" customFormat="false" ht="15.75" hidden="false" customHeight="false" outlineLevel="0" collapsed="false">
      <c r="A52" s="0" t="s">
        <v>611</v>
      </c>
      <c r="B52" s="0" t="s">
        <v>345</v>
      </c>
      <c r="C52" s="0" t="n">
        <v>166</v>
      </c>
      <c r="D52" s="19" t="s">
        <v>40</v>
      </c>
      <c r="E52" s="19" t="s">
        <v>65</v>
      </c>
    </row>
    <row r="53" customFormat="false" ht="15.75" hidden="false" customHeight="false" outlineLevel="0" collapsed="false">
      <c r="A53" s="0" t="s">
        <v>582</v>
      </c>
      <c r="B53" s="0" t="s">
        <v>150</v>
      </c>
      <c r="C53" s="0" t="n">
        <v>64</v>
      </c>
      <c r="D53" s="19" t="s">
        <v>40</v>
      </c>
      <c r="E53" s="19" t="s">
        <v>29</v>
      </c>
    </row>
    <row r="54" customFormat="false" ht="15.75" hidden="false" customHeight="false" outlineLevel="0" collapsed="false">
      <c r="A54" s="0" t="s">
        <v>453</v>
      </c>
      <c r="B54" s="0" t="s">
        <v>454</v>
      </c>
      <c r="C54" s="0" t="n">
        <v>92</v>
      </c>
      <c r="D54" s="19" t="s">
        <v>80</v>
      </c>
      <c r="E54" s="19" t="s">
        <v>23</v>
      </c>
    </row>
    <row r="55" customFormat="false" ht="15.75" hidden="false" customHeight="false" outlineLevel="0" collapsed="false">
      <c r="A55" s="0" t="s">
        <v>268</v>
      </c>
      <c r="B55" s="0" t="s">
        <v>237</v>
      </c>
      <c r="C55" s="0" t="n">
        <v>117</v>
      </c>
      <c r="D55" s="19" t="s">
        <v>40</v>
      </c>
      <c r="E55" s="19" t="s">
        <v>23</v>
      </c>
    </row>
    <row r="56" customFormat="false" ht="15.75" hidden="false" customHeight="false" outlineLevel="0" collapsed="false">
      <c r="A56" s="0" t="s">
        <v>236</v>
      </c>
      <c r="B56" s="0" t="s">
        <v>237</v>
      </c>
      <c r="C56" s="0" t="n">
        <v>117</v>
      </c>
      <c r="D56" s="19" t="s">
        <v>70</v>
      </c>
      <c r="E56" s="19" t="s">
        <v>65</v>
      </c>
    </row>
    <row r="57" customFormat="false" ht="15.75" hidden="false" customHeight="false" outlineLevel="0" collapsed="false">
      <c r="A57" s="0" t="s">
        <v>46</v>
      </c>
      <c r="B57" s="0" t="s">
        <v>47</v>
      </c>
      <c r="C57" s="0" t="n">
        <v>117</v>
      </c>
      <c r="D57" s="19" t="s">
        <v>15</v>
      </c>
      <c r="E57" s="19" t="s">
        <v>51</v>
      </c>
    </row>
    <row r="58" customFormat="false" ht="15.75" hidden="false" customHeight="false" outlineLevel="0" collapsed="false">
      <c r="A58" s="1" t="s">
        <v>716</v>
      </c>
      <c r="B58" s="1" t="s">
        <v>717</v>
      </c>
      <c r="C58" s="1" t="n">
        <v>64</v>
      </c>
      <c r="D58" s="19" t="s">
        <v>15</v>
      </c>
      <c r="E58" s="19" t="s">
        <v>718</v>
      </c>
    </row>
    <row r="59" customFormat="false" ht="15.75" hidden="false" customHeight="false" outlineLevel="0" collapsed="false">
      <c r="A59" s="0" t="s">
        <v>303</v>
      </c>
      <c r="B59" s="0" t="s">
        <v>304</v>
      </c>
      <c r="C59" s="0" t="n">
        <v>92</v>
      </c>
      <c r="D59" s="19" t="s">
        <v>50</v>
      </c>
      <c r="E59" s="19" t="s">
        <v>85</v>
      </c>
    </row>
    <row r="60" customFormat="false" ht="15.75" hidden="false" customHeight="false" outlineLevel="0" collapsed="false">
      <c r="A60" s="1" t="s">
        <v>704</v>
      </c>
      <c r="B60" s="1" t="s">
        <v>403</v>
      </c>
      <c r="C60" s="1" t="n">
        <v>149</v>
      </c>
      <c r="D60" s="19" t="s">
        <v>15</v>
      </c>
      <c r="E60" s="19" t="s">
        <v>65</v>
      </c>
    </row>
    <row r="61" customFormat="false" ht="15.75" hidden="false" customHeight="false" outlineLevel="0" collapsed="false">
      <c r="A61" s="0" t="s">
        <v>566</v>
      </c>
      <c r="B61" s="0" t="s">
        <v>293</v>
      </c>
      <c r="C61" s="0" t="n">
        <v>1</v>
      </c>
      <c r="D61" s="19" t="s">
        <v>15</v>
      </c>
      <c r="E61" s="19" t="s">
        <v>85</v>
      </c>
    </row>
    <row r="62" customFormat="false" ht="15.75" hidden="false" customHeight="false" outlineLevel="0" collapsed="false">
      <c r="A62" s="0" t="s">
        <v>41</v>
      </c>
      <c r="B62" s="0" t="s">
        <v>42</v>
      </c>
      <c r="C62" s="0" t="n">
        <v>51</v>
      </c>
      <c r="D62" s="19" t="s">
        <v>29</v>
      </c>
      <c r="E62" s="19" t="s">
        <v>45</v>
      </c>
    </row>
    <row r="63" customFormat="false" ht="15.75" hidden="false" customHeight="false" outlineLevel="0" collapsed="false">
      <c r="A63" s="0" t="s">
        <v>86</v>
      </c>
      <c r="B63" s="0" t="s">
        <v>87</v>
      </c>
      <c r="C63" s="0" t="n">
        <v>117</v>
      </c>
      <c r="D63" s="19" t="s">
        <v>14</v>
      </c>
      <c r="E63" s="19" t="s">
        <v>65</v>
      </c>
    </row>
    <row r="64" customFormat="false" ht="15.75" hidden="false" customHeight="false" outlineLevel="0" collapsed="false">
      <c r="A64" s="0" t="s">
        <v>277</v>
      </c>
      <c r="B64" s="0" t="s">
        <v>237</v>
      </c>
      <c r="C64" s="0" t="n">
        <v>149</v>
      </c>
      <c r="D64" s="19" t="s">
        <v>14</v>
      </c>
      <c r="E64" s="19" t="s">
        <v>45</v>
      </c>
    </row>
    <row r="65" customFormat="false" ht="15.75" hidden="false" customHeight="false" outlineLevel="0" collapsed="false">
      <c r="A65" s="0" t="s">
        <v>101</v>
      </c>
      <c r="B65" s="0" t="s">
        <v>102</v>
      </c>
      <c r="C65" s="0" t="n">
        <v>64</v>
      </c>
      <c r="D65" s="19" t="s">
        <v>180</v>
      </c>
      <c r="E65" s="19" t="s">
        <v>29</v>
      </c>
    </row>
    <row r="66" customFormat="false" ht="15.75" hidden="false" customHeight="false" outlineLevel="0" collapsed="false">
      <c r="A66" s="1" t="s">
        <v>711</v>
      </c>
      <c r="B66" s="1" t="s">
        <v>61</v>
      </c>
      <c r="C66" s="1" t="n">
        <v>149</v>
      </c>
      <c r="D66" s="19" t="s">
        <v>14</v>
      </c>
      <c r="E66" s="19" t="s">
        <v>40</v>
      </c>
    </row>
    <row r="67" customFormat="false" ht="15.75" hidden="false" customHeight="false" outlineLevel="0" collapsed="false">
      <c r="A67" s="0" t="s">
        <v>469</v>
      </c>
      <c r="B67" s="0" t="s">
        <v>442</v>
      </c>
      <c r="C67" s="0" t="n">
        <v>139</v>
      </c>
      <c r="D67" s="19" t="s">
        <v>40</v>
      </c>
      <c r="E67" s="19" t="s">
        <v>40</v>
      </c>
    </row>
    <row r="68" customFormat="false" ht="15.75" hidden="false" customHeight="false" outlineLevel="0" collapsed="false">
      <c r="A68" s="1" t="s">
        <v>734</v>
      </c>
      <c r="B68" s="1" t="s">
        <v>190</v>
      </c>
      <c r="C68" s="1" t="n">
        <v>149</v>
      </c>
      <c r="D68" s="19" t="s">
        <v>14</v>
      </c>
      <c r="E68" s="19" t="s">
        <v>85</v>
      </c>
    </row>
    <row r="69" customFormat="false" ht="15.75" hidden="false" customHeight="false" outlineLevel="0" collapsed="false">
      <c r="A69" s="1" t="s">
        <v>719</v>
      </c>
      <c r="B69" s="1" t="s">
        <v>720</v>
      </c>
      <c r="C69" s="1" t="n">
        <v>117</v>
      </c>
      <c r="D69" s="19" t="s">
        <v>50</v>
      </c>
      <c r="E69" s="19"/>
    </row>
    <row r="70" customFormat="false" ht="15.75" hidden="false" customHeight="false" outlineLevel="0" collapsed="false">
      <c r="A70" s="0" t="s">
        <v>494</v>
      </c>
      <c r="B70" s="0" t="s">
        <v>115</v>
      </c>
      <c r="C70" s="0" t="n">
        <v>137</v>
      </c>
      <c r="D70" s="19" t="s">
        <v>51</v>
      </c>
      <c r="E70" s="19" t="s">
        <v>40</v>
      </c>
    </row>
    <row r="71" customFormat="false" ht="15.75" hidden="false" customHeight="false" outlineLevel="0" collapsed="false">
      <c r="A71" s="0" t="s">
        <v>421</v>
      </c>
      <c r="B71" s="0" t="s">
        <v>31</v>
      </c>
      <c r="C71" s="0" t="n">
        <v>117</v>
      </c>
      <c r="D71" s="19" t="s">
        <v>40</v>
      </c>
      <c r="E71" s="19" t="s">
        <v>85</v>
      </c>
    </row>
    <row r="72" customFormat="false" ht="15.75" hidden="false" customHeight="false" outlineLevel="0" collapsed="false">
      <c r="A72" s="0" t="s">
        <v>292</v>
      </c>
      <c r="B72" s="0" t="s">
        <v>293</v>
      </c>
      <c r="C72" s="0" t="s">
        <v>294</v>
      </c>
      <c r="D72" s="19" t="s">
        <v>14</v>
      </c>
      <c r="E72" s="19" t="s">
        <v>51</v>
      </c>
    </row>
    <row r="73" customFormat="false" ht="15.75" hidden="false" customHeight="false" outlineLevel="0" collapsed="false">
      <c r="A73" s="0" t="s">
        <v>504</v>
      </c>
      <c r="B73" s="0" t="s">
        <v>150</v>
      </c>
      <c r="C73" s="0" t="n">
        <v>117</v>
      </c>
      <c r="D73" s="19" t="s">
        <v>148</v>
      </c>
      <c r="E73" s="19" t="s">
        <v>15</v>
      </c>
    </row>
    <row r="74" customFormat="false" ht="15.75" hidden="false" customHeight="false" outlineLevel="0" collapsed="false">
      <c r="A74" s="0" t="s">
        <v>608</v>
      </c>
      <c r="B74" s="0" t="s">
        <v>350</v>
      </c>
      <c r="C74" s="0" t="n">
        <v>64</v>
      </c>
      <c r="D74" s="19" t="s">
        <v>70</v>
      </c>
      <c r="E74" s="19" t="s">
        <v>85</v>
      </c>
    </row>
    <row r="75" customFormat="false" ht="15.75" hidden="false" customHeight="false" outlineLevel="0" collapsed="false">
      <c r="A75" s="0" t="s">
        <v>657</v>
      </c>
      <c r="B75" s="0" t="s">
        <v>658</v>
      </c>
      <c r="C75" s="0" t="n">
        <v>64</v>
      </c>
      <c r="D75" s="19" t="s">
        <v>15</v>
      </c>
      <c r="E75" s="19" t="s">
        <v>22</v>
      </c>
    </row>
    <row r="76" customFormat="false" ht="15.75" hidden="false" customHeight="false" outlineLevel="0" collapsed="false">
      <c r="A76" s="0" t="s">
        <v>154</v>
      </c>
      <c r="B76" s="0" t="s">
        <v>155</v>
      </c>
      <c r="C76" s="0" t="n">
        <v>66</v>
      </c>
      <c r="D76" s="19" t="s">
        <v>80</v>
      </c>
      <c r="E76" s="19" t="s">
        <v>109</v>
      </c>
    </row>
    <row r="77" customFormat="false" ht="15.75" hidden="false" customHeight="false" outlineLevel="0" collapsed="false">
      <c r="A77" s="0" t="s">
        <v>154</v>
      </c>
      <c r="B77" s="0" t="s">
        <v>173</v>
      </c>
      <c r="C77" s="0" t="n">
        <v>66</v>
      </c>
      <c r="D77" s="19" t="s">
        <v>50</v>
      </c>
      <c r="E77" s="19" t="s">
        <v>85</v>
      </c>
    </row>
    <row r="78" customFormat="false" ht="15.75" hidden="false" customHeight="false" outlineLevel="0" collapsed="false">
      <c r="A78" s="0" t="s">
        <v>602</v>
      </c>
      <c r="B78" s="0" t="s">
        <v>237</v>
      </c>
      <c r="C78" s="0" t="n">
        <v>123</v>
      </c>
      <c r="D78" s="19" t="s">
        <v>40</v>
      </c>
      <c r="E78" s="19" t="s">
        <v>45</v>
      </c>
    </row>
    <row r="79" customFormat="false" ht="15.75" hidden="false" customHeight="false" outlineLevel="0" collapsed="false">
      <c r="A79" s="0" t="s">
        <v>639</v>
      </c>
      <c r="B79" s="0" t="s">
        <v>403</v>
      </c>
      <c r="C79" s="0" t="n">
        <v>117</v>
      </c>
      <c r="D79" s="19" t="s">
        <v>40</v>
      </c>
      <c r="E79" s="19" t="s">
        <v>85</v>
      </c>
    </row>
    <row r="80" customFormat="false" ht="15.75" hidden="false" customHeight="false" outlineLevel="0" collapsed="false">
      <c r="A80" s="1" t="s">
        <v>708</v>
      </c>
      <c r="B80" s="1" t="s">
        <v>233</v>
      </c>
      <c r="C80" s="1" t="n">
        <v>149</v>
      </c>
      <c r="D80" s="19" t="s">
        <v>51</v>
      </c>
      <c r="E80" s="19" t="s">
        <v>45</v>
      </c>
    </row>
    <row r="81" customFormat="false" ht="15.75" hidden="false" customHeight="false" outlineLevel="0" collapsed="false">
      <c r="A81" s="1" t="s">
        <v>708</v>
      </c>
      <c r="B81" s="1" t="s">
        <v>264</v>
      </c>
      <c r="C81" s="1" t="n">
        <v>149</v>
      </c>
      <c r="D81" s="19" t="s">
        <v>51</v>
      </c>
      <c r="E81" s="19" t="s">
        <v>45</v>
      </c>
    </row>
    <row r="82" customFormat="false" ht="15.75" hidden="false" customHeight="false" outlineLevel="0" collapsed="false">
      <c r="A82" s="0" t="s">
        <v>326</v>
      </c>
      <c r="B82" s="0" t="s">
        <v>327</v>
      </c>
      <c r="C82" s="0" t="n">
        <v>117</v>
      </c>
      <c r="D82" s="19" t="s">
        <v>50</v>
      </c>
      <c r="E82" s="19" t="s">
        <v>22</v>
      </c>
    </row>
    <row r="83" customFormat="false" ht="15.75" hidden="false" customHeight="false" outlineLevel="0" collapsed="false">
      <c r="A83" s="0" t="s">
        <v>387</v>
      </c>
      <c r="B83" s="0" t="s">
        <v>350</v>
      </c>
      <c r="C83" s="0" t="n">
        <v>109</v>
      </c>
      <c r="D83" s="19" t="s">
        <v>15</v>
      </c>
      <c r="E83" s="19" t="s">
        <v>148</v>
      </c>
    </row>
    <row r="84" customFormat="false" ht="15.75" hidden="false" customHeight="false" outlineLevel="0" collapsed="false">
      <c r="A84" s="0" t="s">
        <v>540</v>
      </c>
      <c r="B84" s="0" t="s">
        <v>541</v>
      </c>
      <c r="C84" s="0" t="n">
        <v>150</v>
      </c>
      <c r="D84" s="19" t="s">
        <v>22</v>
      </c>
      <c r="E84" s="19" t="s">
        <v>15</v>
      </c>
    </row>
    <row r="85" customFormat="false" ht="15.75" hidden="false" customHeight="false" outlineLevel="0" collapsed="false">
      <c r="A85" s="0" t="s">
        <v>56</v>
      </c>
      <c r="B85" s="0" t="s">
        <v>57</v>
      </c>
      <c r="C85" s="0" t="n">
        <v>149</v>
      </c>
      <c r="D85" s="19" t="s">
        <v>29</v>
      </c>
      <c r="E85" s="19" t="s">
        <v>23</v>
      </c>
    </row>
    <row r="86" customFormat="false" ht="15.75" hidden="false" customHeight="false" outlineLevel="0" collapsed="false">
      <c r="A86" s="0" t="s">
        <v>520</v>
      </c>
      <c r="B86" s="0" t="s">
        <v>350</v>
      </c>
      <c r="C86" s="0" t="n">
        <v>137</v>
      </c>
      <c r="D86" s="19" t="s">
        <v>51</v>
      </c>
      <c r="E86" s="19" t="s">
        <v>40</v>
      </c>
    </row>
    <row r="87" customFormat="false" ht="15.75" hidden="false" customHeight="false" outlineLevel="0" collapsed="false">
      <c r="A87" s="0" t="s">
        <v>217</v>
      </c>
      <c r="B87" s="0" t="s">
        <v>218</v>
      </c>
      <c r="C87" s="0" t="n">
        <v>64</v>
      </c>
      <c r="D87" s="19" t="s">
        <v>14</v>
      </c>
      <c r="E87" s="19" t="s">
        <v>51</v>
      </c>
    </row>
    <row r="88" customFormat="false" ht="15.75" hidden="false" customHeight="false" outlineLevel="0" collapsed="false">
      <c r="A88" s="0" t="s">
        <v>129</v>
      </c>
      <c r="B88" s="0" t="s">
        <v>190</v>
      </c>
      <c r="C88" s="0" t="n">
        <v>66</v>
      </c>
      <c r="D88" s="19" t="s">
        <v>50</v>
      </c>
      <c r="E88" s="19" t="s">
        <v>40</v>
      </c>
    </row>
    <row r="89" customFormat="false" ht="15.75" hidden="false" customHeight="false" outlineLevel="0" collapsed="false">
      <c r="A89" s="0" t="s">
        <v>129</v>
      </c>
      <c r="B89" s="0" t="s">
        <v>130</v>
      </c>
      <c r="C89" s="0" t="n">
        <v>64</v>
      </c>
      <c r="D89" s="19" t="s">
        <v>14</v>
      </c>
      <c r="E89" s="19" t="s">
        <v>109</v>
      </c>
    </row>
    <row r="90" customFormat="false" ht="15.75" hidden="false" customHeight="false" outlineLevel="0" collapsed="false">
      <c r="A90" s="0" t="s">
        <v>353</v>
      </c>
      <c r="B90" s="0" t="s">
        <v>354</v>
      </c>
      <c r="C90" s="0" t="n">
        <v>64</v>
      </c>
      <c r="D90" s="19" t="s">
        <v>14</v>
      </c>
      <c r="E90" s="19" t="s">
        <v>40</v>
      </c>
    </row>
    <row r="91" customFormat="false" ht="15.75" hidden="false" customHeight="false" outlineLevel="0" collapsed="false">
      <c r="A91" s="0" t="s">
        <v>410</v>
      </c>
      <c r="B91" s="0" t="s">
        <v>411</v>
      </c>
      <c r="C91" s="0" t="n">
        <v>117</v>
      </c>
      <c r="D91" s="19" t="s">
        <v>180</v>
      </c>
      <c r="E91" s="19" t="s">
        <v>45</v>
      </c>
    </row>
    <row r="92" customFormat="false" ht="15.75" hidden="false" customHeight="false" outlineLevel="0" collapsed="false">
      <c r="A92" s="0" t="s">
        <v>240</v>
      </c>
      <c r="B92" s="0" t="s">
        <v>92</v>
      </c>
      <c r="C92" s="0" t="n">
        <v>117</v>
      </c>
      <c r="D92" s="19" t="s">
        <v>29</v>
      </c>
      <c r="E92" s="19" t="s">
        <v>65</v>
      </c>
    </row>
    <row r="93" customFormat="false" ht="15.75" hidden="false" customHeight="false" outlineLevel="0" collapsed="false">
      <c r="A93" s="0" t="s">
        <v>499</v>
      </c>
      <c r="B93" s="0" t="s">
        <v>642</v>
      </c>
      <c r="C93" s="0" t="n">
        <v>117</v>
      </c>
      <c r="D93" s="19" t="s">
        <v>148</v>
      </c>
      <c r="E93" s="19" t="s">
        <v>15</v>
      </c>
    </row>
    <row r="94" customFormat="false" ht="15.75" hidden="false" customHeight="false" outlineLevel="0" collapsed="false">
      <c r="A94" s="0" t="s">
        <v>487</v>
      </c>
      <c r="B94" s="0" t="s">
        <v>115</v>
      </c>
      <c r="C94" s="0" t="n">
        <v>139</v>
      </c>
      <c r="D94" s="19" t="s">
        <v>15</v>
      </c>
      <c r="E94" s="19" t="s">
        <v>22</v>
      </c>
    </row>
    <row r="95" customFormat="false" ht="15.75" hidden="false" customHeight="false" outlineLevel="0" collapsed="false">
      <c r="A95" s="0" t="s">
        <v>462</v>
      </c>
      <c r="B95" s="0" t="s">
        <v>264</v>
      </c>
      <c r="C95" s="0" t="n">
        <v>117</v>
      </c>
      <c r="D95" s="19" t="s">
        <v>29</v>
      </c>
      <c r="E95" s="19" t="s">
        <v>109</v>
      </c>
    </row>
    <row r="96" customFormat="false" ht="15.75" hidden="false" customHeight="false" outlineLevel="0" collapsed="false">
      <c r="A96" s="0" t="s">
        <v>623</v>
      </c>
      <c r="B96" s="0" t="s">
        <v>31</v>
      </c>
      <c r="C96" s="0" t="n">
        <v>146</v>
      </c>
      <c r="D96" s="19" t="s">
        <v>148</v>
      </c>
      <c r="E96" s="19" t="s">
        <v>40</v>
      </c>
    </row>
    <row r="97" customFormat="false" ht="15.75" hidden="false" customHeight="false" outlineLevel="0" collapsed="false">
      <c r="A97" s="0" t="s">
        <v>414</v>
      </c>
      <c r="B97" s="0" t="s">
        <v>25</v>
      </c>
      <c r="C97" s="0" t="n">
        <v>64</v>
      </c>
      <c r="D97" s="19" t="s">
        <v>29</v>
      </c>
      <c r="E97" s="19" t="s">
        <v>23</v>
      </c>
    </row>
    <row r="98" customFormat="false" ht="15.75" hidden="false" customHeight="false" outlineLevel="0" collapsed="false">
      <c r="A98" s="0" t="s">
        <v>322</v>
      </c>
      <c r="B98" s="0" t="s">
        <v>286</v>
      </c>
      <c r="C98" s="0" t="n">
        <v>149</v>
      </c>
      <c r="D98" s="19" t="s">
        <v>40</v>
      </c>
      <c r="E98" s="19" t="s">
        <v>65</v>
      </c>
    </row>
    <row r="99" customFormat="false" ht="15.75" hidden="false" customHeight="false" outlineLevel="0" collapsed="false">
      <c r="A99" s="0" t="s">
        <v>322</v>
      </c>
      <c r="B99" s="0" t="s">
        <v>264</v>
      </c>
      <c r="C99" s="0" t="n">
        <v>140</v>
      </c>
      <c r="D99" s="19" t="s">
        <v>15</v>
      </c>
      <c r="E99" s="19" t="s">
        <v>23</v>
      </c>
    </row>
    <row r="100" customFormat="false" ht="15.75" hidden="false" customHeight="false" outlineLevel="0" collapsed="false">
      <c r="A100" s="0" t="s">
        <v>562</v>
      </c>
      <c r="B100" s="0" t="s">
        <v>215</v>
      </c>
      <c r="C100" s="0" t="n">
        <v>1</v>
      </c>
      <c r="D100" s="19" t="s">
        <v>70</v>
      </c>
      <c r="E100" s="19" t="s">
        <v>45</v>
      </c>
    </row>
    <row r="101" customFormat="false" ht="15.75" hidden="false" customHeight="false" outlineLevel="0" collapsed="false">
      <c r="A101" s="0" t="s">
        <v>532</v>
      </c>
      <c r="B101" s="0" t="s">
        <v>533</v>
      </c>
      <c r="C101" s="0" t="n">
        <v>117</v>
      </c>
      <c r="D101" s="19" t="s">
        <v>40</v>
      </c>
      <c r="E101" s="19" t="s">
        <v>40</v>
      </c>
    </row>
    <row r="102" customFormat="false" ht="15.75" hidden="false" customHeight="false" outlineLevel="0" collapsed="false">
      <c r="A102" s="0" t="s">
        <v>449</v>
      </c>
      <c r="B102" s="0" t="s">
        <v>450</v>
      </c>
      <c r="C102" s="0" t="n">
        <v>166</v>
      </c>
      <c r="D102" s="19" t="s">
        <v>29</v>
      </c>
      <c r="E102" s="19" t="s">
        <v>109</v>
      </c>
    </row>
    <row r="103" customFormat="false" ht="15.75" hidden="false" customHeight="false" outlineLevel="0" collapsed="false">
      <c r="A103" s="0" t="s">
        <v>458</v>
      </c>
      <c r="B103" s="0" t="s">
        <v>459</v>
      </c>
      <c r="C103" s="0" t="n">
        <v>117</v>
      </c>
      <c r="D103" s="19" t="s">
        <v>29</v>
      </c>
      <c r="E103" s="19" t="s">
        <v>85</v>
      </c>
    </row>
    <row r="104" customFormat="false" ht="15.75" hidden="false" customHeight="false" outlineLevel="0" collapsed="false">
      <c r="A104" s="0" t="s">
        <v>555</v>
      </c>
      <c r="B104" s="0" t="s">
        <v>264</v>
      </c>
      <c r="C104" s="0" t="n">
        <v>117</v>
      </c>
      <c r="D104" s="19" t="s">
        <v>50</v>
      </c>
      <c r="E104" s="19" t="s">
        <v>40</v>
      </c>
    </row>
    <row r="105" customFormat="false" ht="15.75" hidden="false" customHeight="false" outlineLevel="0" collapsed="false">
      <c r="A105" s="0" t="s">
        <v>569</v>
      </c>
      <c r="B105" s="0" t="s">
        <v>570</v>
      </c>
      <c r="C105" s="0" t="n">
        <v>9</v>
      </c>
      <c r="D105" s="19" t="s">
        <v>51</v>
      </c>
      <c r="E105" s="19" t="s">
        <v>22</v>
      </c>
    </row>
    <row r="106" customFormat="false" ht="15.75" hidden="false" customHeight="false" outlineLevel="0" collapsed="false">
      <c r="A106" s="0" t="s">
        <v>394</v>
      </c>
      <c r="B106" s="0" t="s">
        <v>395</v>
      </c>
      <c r="C106" s="0" t="n">
        <v>117</v>
      </c>
      <c r="D106" s="19" t="s">
        <v>70</v>
      </c>
      <c r="E106" s="19" t="s">
        <v>85</v>
      </c>
    </row>
    <row r="107" customFormat="false" ht="15.75" hidden="false" customHeight="false" outlineLevel="0" collapsed="false">
      <c r="A107" s="0" t="s">
        <v>60</v>
      </c>
      <c r="B107" s="0" t="s">
        <v>61</v>
      </c>
      <c r="C107" s="0" t="n">
        <v>117</v>
      </c>
      <c r="D107" s="19" t="s">
        <v>14</v>
      </c>
      <c r="E107" s="19" t="s">
        <v>65</v>
      </c>
    </row>
    <row r="108" customFormat="false" ht="15.75" hidden="false" customHeight="false" outlineLevel="0" collapsed="false">
      <c r="A108" s="0" t="s">
        <v>545</v>
      </c>
      <c r="B108" s="0" t="s">
        <v>459</v>
      </c>
      <c r="C108" s="0" t="n">
        <v>44</v>
      </c>
      <c r="D108" s="19" t="s">
        <v>50</v>
      </c>
      <c r="E108" s="19" t="s">
        <v>40</v>
      </c>
    </row>
    <row r="109" customFormat="false" ht="15.75" hidden="false" customHeight="false" outlineLevel="0" collapsed="false">
      <c r="A109" s="0" t="s">
        <v>372</v>
      </c>
      <c r="B109" s="0" t="s">
        <v>135</v>
      </c>
      <c r="C109" s="0" t="n">
        <v>62</v>
      </c>
      <c r="D109" s="19" t="s">
        <v>29</v>
      </c>
      <c r="E109" s="19" t="s">
        <v>109</v>
      </c>
    </row>
    <row r="110" customFormat="false" ht="15.75" hidden="false" customHeight="false" outlineLevel="0" collapsed="false">
      <c r="A110" s="0" t="s">
        <v>339</v>
      </c>
      <c r="B110" s="0" t="s">
        <v>340</v>
      </c>
      <c r="C110" s="0" t="n">
        <v>62</v>
      </c>
      <c r="D110" s="19" t="s">
        <v>29</v>
      </c>
      <c r="E110" s="19" t="s">
        <v>109</v>
      </c>
    </row>
    <row r="111" customFormat="false" ht="15.75" hidden="false" customHeight="false" outlineLevel="0" collapsed="false">
      <c r="A111" s="1" t="s">
        <v>729</v>
      </c>
      <c r="B111" s="1" t="s">
        <v>730</v>
      </c>
      <c r="C111" s="1" t="n">
        <v>115</v>
      </c>
      <c r="D111" s="19" t="s">
        <v>40</v>
      </c>
      <c r="E111" s="19" t="s">
        <v>109</v>
      </c>
    </row>
    <row r="112" customFormat="false" ht="15.75" hidden="false" customHeight="false" outlineLevel="0" collapsed="false">
      <c r="A112" s="0" t="s">
        <v>255</v>
      </c>
      <c r="B112" s="0" t="s">
        <v>256</v>
      </c>
      <c r="C112" s="0" t="n">
        <v>117</v>
      </c>
      <c r="D112" s="19" t="s">
        <v>15</v>
      </c>
      <c r="E112" s="19" t="s">
        <v>128</v>
      </c>
    </row>
    <row r="113" customFormat="false" ht="15.75" hidden="false" customHeight="false" outlineLevel="0" collapsed="false">
      <c r="A113" s="0" t="s">
        <v>490</v>
      </c>
      <c r="B113" s="0" t="s">
        <v>251</v>
      </c>
      <c r="C113" s="0" t="n">
        <v>117</v>
      </c>
      <c r="D113" s="19" t="s">
        <v>70</v>
      </c>
      <c r="E113" s="19" t="s">
        <v>65</v>
      </c>
    </row>
    <row r="114" customFormat="false" ht="15.75" hidden="false" customHeight="false" outlineLevel="0" collapsed="false">
      <c r="A114" s="1" t="s">
        <v>706</v>
      </c>
      <c r="B114" s="1" t="s">
        <v>115</v>
      </c>
      <c r="C114" s="1" t="n">
        <v>115</v>
      </c>
      <c r="D114" s="19" t="s">
        <v>22</v>
      </c>
      <c r="E114" s="19" t="s">
        <v>45</v>
      </c>
    </row>
    <row r="115" customFormat="false" ht="15.75" hidden="false" customHeight="false" outlineLevel="0" collapsed="false">
      <c r="A115" s="0" t="s">
        <v>441</v>
      </c>
      <c r="B115" s="0" t="s">
        <v>442</v>
      </c>
      <c r="C115" s="0" t="n">
        <v>84</v>
      </c>
      <c r="D115" s="19" t="s">
        <v>70</v>
      </c>
      <c r="E115" s="19" t="s">
        <v>23</v>
      </c>
    </row>
    <row r="116" customFormat="false" ht="15.75" hidden="false" customHeight="false" outlineLevel="0" collapsed="false">
      <c r="A116" s="0" t="s">
        <v>661</v>
      </c>
      <c r="B116" s="0" t="s">
        <v>61</v>
      </c>
      <c r="C116" s="0" t="n">
        <v>19</v>
      </c>
      <c r="D116" s="19" t="s">
        <v>40</v>
      </c>
      <c r="E116" s="19" t="s">
        <v>29</v>
      </c>
    </row>
    <row r="117" customFormat="false" ht="15.75" hidden="false" customHeight="false" outlineLevel="0" collapsed="false">
      <c r="A117" s="1" t="s">
        <v>702</v>
      </c>
      <c r="B117" s="1" t="s">
        <v>509</v>
      </c>
      <c r="C117" s="1" t="n">
        <v>117</v>
      </c>
      <c r="D117" s="19" t="s">
        <v>14</v>
      </c>
      <c r="E117" s="19" t="s">
        <v>65</v>
      </c>
    </row>
    <row r="118" customFormat="false" ht="15.75" hidden="false" customHeight="false" outlineLevel="0" collapsed="false">
      <c r="A118" s="0" t="s">
        <v>402</v>
      </c>
      <c r="B118" s="0" t="s">
        <v>403</v>
      </c>
      <c r="C118" s="0" t="n">
        <v>117</v>
      </c>
      <c r="D118" s="19" t="s">
        <v>51</v>
      </c>
      <c r="E118" s="19" t="s">
        <v>85</v>
      </c>
    </row>
    <row r="119" customFormat="false" ht="15.75" hidden="false" customHeight="false" outlineLevel="0" collapsed="false">
      <c r="A119" s="0" t="s">
        <v>599</v>
      </c>
      <c r="B119" s="0" t="s">
        <v>161</v>
      </c>
      <c r="C119" s="0" t="n">
        <v>64</v>
      </c>
      <c r="D119" s="19" t="s">
        <v>50</v>
      </c>
      <c r="E119" s="19" t="s">
        <v>23</v>
      </c>
    </row>
    <row r="120" customFormat="false" ht="15.75" hidden="false" customHeight="false" outlineLevel="0" collapsed="false">
      <c r="A120" s="0" t="s">
        <v>528</v>
      </c>
      <c r="B120" s="0" t="s">
        <v>529</v>
      </c>
      <c r="C120" s="0" t="n">
        <v>36</v>
      </c>
      <c r="D120" s="19" t="s">
        <v>80</v>
      </c>
      <c r="E120" s="19" t="s">
        <v>22</v>
      </c>
    </row>
    <row r="121" customFormat="false" ht="15.75" hidden="false" customHeight="false" outlineLevel="0" collapsed="false">
      <c r="A121" s="0" t="s">
        <v>164</v>
      </c>
      <c r="B121" s="0" t="s">
        <v>31</v>
      </c>
      <c r="C121" s="0" t="n">
        <v>117</v>
      </c>
      <c r="D121" s="19" t="s">
        <v>15</v>
      </c>
      <c r="E121" s="19" t="s">
        <v>22</v>
      </c>
    </row>
    <row r="122" customFormat="false" ht="15.75" hidden="false" customHeight="false" outlineLevel="0" collapsed="false">
      <c r="A122" s="0" t="s">
        <v>308</v>
      </c>
      <c r="B122" s="0" t="s">
        <v>155</v>
      </c>
      <c r="C122" s="0" t="n">
        <v>139</v>
      </c>
      <c r="D122" s="19" t="s">
        <v>40</v>
      </c>
      <c r="E122" s="19" t="s">
        <v>109</v>
      </c>
    </row>
    <row r="123" customFormat="false" ht="15.75" hidden="false" customHeight="false" outlineLevel="0" collapsed="false">
      <c r="A123" s="1" t="s">
        <v>725</v>
      </c>
      <c r="B123" s="1" t="s">
        <v>61</v>
      </c>
      <c r="C123" s="1" t="n">
        <v>115</v>
      </c>
      <c r="D123" s="19" t="s">
        <v>70</v>
      </c>
      <c r="E123" s="19" t="s">
        <v>51</v>
      </c>
    </row>
    <row r="124" customFormat="false" ht="15.75" hidden="false" customHeight="false" outlineLevel="0" collapsed="false">
      <c r="A124" s="0" t="s">
        <v>592</v>
      </c>
      <c r="B124" s="0" t="s">
        <v>593</v>
      </c>
      <c r="C124" s="0" t="n">
        <v>117</v>
      </c>
      <c r="D124" s="19" t="s">
        <v>70</v>
      </c>
      <c r="E124" s="19" t="s">
        <v>65</v>
      </c>
    </row>
    <row r="125" customFormat="false" ht="15.75" hidden="false" customHeight="false" outlineLevel="0" collapsed="false">
      <c r="A125" s="0" t="s">
        <v>344</v>
      </c>
      <c r="B125" s="0" t="s">
        <v>345</v>
      </c>
      <c r="C125" s="0" t="n">
        <v>149</v>
      </c>
      <c r="D125" s="19" t="s">
        <v>14</v>
      </c>
      <c r="E125" s="19" t="s">
        <v>85</v>
      </c>
    </row>
    <row r="126" customFormat="false" ht="15.75" hidden="false" customHeight="false" outlineLevel="0" collapsed="false">
      <c r="A126" s="0" t="s">
        <v>194</v>
      </c>
      <c r="B126" s="0" t="s">
        <v>195</v>
      </c>
      <c r="C126" s="0" t="n">
        <v>149</v>
      </c>
      <c r="D126" s="19" t="s">
        <v>50</v>
      </c>
      <c r="E126" s="19" t="s">
        <v>29</v>
      </c>
    </row>
    <row r="127" customFormat="false" ht="15.75" hidden="false" customHeight="false" outlineLevel="0" collapsed="false">
      <c r="A127" s="0" t="s">
        <v>143</v>
      </c>
      <c r="B127" s="0" t="s">
        <v>144</v>
      </c>
      <c r="C127" s="0" t="n">
        <v>117</v>
      </c>
      <c r="D127" s="19" t="s">
        <v>40</v>
      </c>
      <c r="E127" s="19" t="s">
        <v>148</v>
      </c>
    </row>
    <row r="128" customFormat="false" ht="15.75" hidden="false" customHeight="false" outlineLevel="0" collapsed="false">
      <c r="A128" s="0" t="s">
        <v>473</v>
      </c>
      <c r="B128" s="0" t="s">
        <v>474</v>
      </c>
      <c r="C128" s="0" t="n">
        <v>139</v>
      </c>
      <c r="D128" s="19" t="s">
        <v>70</v>
      </c>
      <c r="E128" s="19" t="s">
        <v>51</v>
      </c>
    </row>
    <row r="129" customFormat="false" ht="15.75" hidden="false" customHeight="false" outlineLevel="0" collapsed="false">
      <c r="A129" s="0" t="s">
        <v>290</v>
      </c>
      <c r="B129" s="0" t="s">
        <v>61</v>
      </c>
      <c r="C129" s="0" t="n">
        <v>19</v>
      </c>
      <c r="D129" s="19" t="s">
        <v>15</v>
      </c>
      <c r="E129" s="19" t="s">
        <v>15</v>
      </c>
    </row>
    <row r="130" customFormat="false" ht="15.75" hidden="false" customHeight="false" outlineLevel="0" collapsed="false">
      <c r="A130" s="0" t="s">
        <v>589</v>
      </c>
      <c r="B130" s="0" t="s">
        <v>383</v>
      </c>
      <c r="C130" s="0" t="n">
        <v>117</v>
      </c>
      <c r="D130" s="19" t="s">
        <v>40</v>
      </c>
      <c r="E130" s="19" t="s">
        <v>45</v>
      </c>
    </row>
    <row r="131" customFormat="false" ht="15.75" hidden="false" customHeight="false" outlineLevel="0" collapsed="false">
      <c r="A131" s="0" t="s">
        <v>232</v>
      </c>
      <c r="B131" s="0" t="s">
        <v>233</v>
      </c>
      <c r="C131" s="0" t="n">
        <v>117</v>
      </c>
      <c r="D131" s="19" t="s">
        <v>14</v>
      </c>
      <c r="E131" s="19" t="s">
        <v>65</v>
      </c>
    </row>
    <row r="132" customFormat="false" ht="15.75" hidden="false" customHeight="false" outlineLevel="0" collapsed="false">
      <c r="A132" s="0" t="s">
        <v>317</v>
      </c>
      <c r="B132" s="0" t="s">
        <v>318</v>
      </c>
      <c r="C132" s="0" t="n">
        <v>19</v>
      </c>
      <c r="D132" s="19" t="s">
        <v>29</v>
      </c>
      <c r="E132" s="19" t="s">
        <v>109</v>
      </c>
    </row>
    <row r="133" customFormat="false" ht="15.75" hidden="false" customHeight="false" outlineLevel="0" collapsed="false">
      <c r="A133" s="0" t="s">
        <v>675</v>
      </c>
      <c r="B133" s="0" t="s">
        <v>676</v>
      </c>
      <c r="C133" s="0" t="n">
        <v>117</v>
      </c>
      <c r="D133" s="19" t="s">
        <v>50</v>
      </c>
      <c r="E133" s="19" t="s">
        <v>23</v>
      </c>
    </row>
    <row r="134" customFormat="false" ht="15.75" hidden="false" customHeight="false" outlineLevel="0" collapsed="false">
      <c r="A134" s="0" t="s">
        <v>285</v>
      </c>
      <c r="B134" s="0" t="s">
        <v>286</v>
      </c>
      <c r="C134" s="0" t="s">
        <v>287</v>
      </c>
      <c r="D134" s="19" t="s">
        <v>70</v>
      </c>
      <c r="E134" s="19" t="s">
        <v>65</v>
      </c>
    </row>
    <row r="135" customFormat="false" ht="15.75" hidden="false" customHeight="false" outlineLevel="0" collapsed="false">
      <c r="A135" s="0" t="s">
        <v>666</v>
      </c>
      <c r="B135" s="0" t="s">
        <v>474</v>
      </c>
      <c r="C135" s="0" t="n">
        <v>117</v>
      </c>
      <c r="D135" s="19" t="s">
        <v>51</v>
      </c>
      <c r="E135" s="19" t="s">
        <v>65</v>
      </c>
    </row>
    <row r="136" customFormat="false" ht="15.75" hidden="false" customHeight="false" outlineLevel="0" collapsed="false">
      <c r="A136" s="1" t="s">
        <v>426</v>
      </c>
      <c r="B136" s="20" t="s">
        <v>71</v>
      </c>
      <c r="C136" s="1" t="n">
        <v>117</v>
      </c>
      <c r="D136" s="19" t="s">
        <v>40</v>
      </c>
      <c r="E136" s="19" t="s">
        <v>65</v>
      </c>
    </row>
    <row r="137" customFormat="false" ht="15.75" hidden="false" customHeight="false" outlineLevel="0" collapsed="false">
      <c r="A137" s="0" t="s">
        <v>426</v>
      </c>
      <c r="B137" s="0" t="s">
        <v>364</v>
      </c>
      <c r="C137" s="0" t="n">
        <v>117</v>
      </c>
      <c r="D137" s="19" t="s">
        <v>50</v>
      </c>
      <c r="E137" s="19" t="s">
        <v>45</v>
      </c>
    </row>
    <row r="138" customFormat="false" ht="15.75" hidden="false" customHeight="false" outlineLevel="0" collapsed="false">
      <c r="A138" s="0" t="s">
        <v>160</v>
      </c>
      <c r="B138" s="0" t="s">
        <v>161</v>
      </c>
      <c r="C138" s="0" t="n">
        <v>64</v>
      </c>
      <c r="D138" s="19" t="s">
        <v>14</v>
      </c>
      <c r="E138" s="19" t="s">
        <v>85</v>
      </c>
    </row>
    <row r="139" customFormat="false" ht="15.75" hidden="false" customHeight="false" outlineLevel="0" collapsed="false">
      <c r="A139" s="0" t="s">
        <v>631</v>
      </c>
      <c r="B139" s="0" t="s">
        <v>124</v>
      </c>
      <c r="C139" s="0" t="n">
        <v>64</v>
      </c>
      <c r="D139" s="19" t="s">
        <v>40</v>
      </c>
      <c r="E139" s="19" t="s">
        <v>85</v>
      </c>
    </row>
    <row r="140" customFormat="false" ht="15.75" hidden="false" customHeight="false" outlineLevel="0" collapsed="false">
      <c r="A140" s="0" t="s">
        <v>619</v>
      </c>
      <c r="B140" s="0" t="s">
        <v>251</v>
      </c>
      <c r="C140" s="0" t="n">
        <v>19</v>
      </c>
      <c r="D140" s="19" t="s">
        <v>40</v>
      </c>
      <c r="E140" s="19" t="s">
        <v>23</v>
      </c>
    </row>
    <row r="141" customFormat="false" ht="15.75" hidden="false" customHeight="false" outlineLevel="0" collapsed="false">
      <c r="A141" s="1" t="s">
        <v>697</v>
      </c>
      <c r="B141" s="1" t="s">
        <v>698</v>
      </c>
      <c r="C141" s="1" t="n">
        <v>117</v>
      </c>
      <c r="D141" s="19" t="s">
        <v>14</v>
      </c>
      <c r="E141" s="19" t="s">
        <v>15</v>
      </c>
    </row>
    <row r="142" customFormat="false" ht="15.75" hidden="false" customHeight="false" outlineLevel="0" collapsed="false">
      <c r="A142" s="0" t="s">
        <v>96</v>
      </c>
      <c r="B142" s="0" t="s">
        <v>97</v>
      </c>
      <c r="C142" s="0" t="n">
        <v>117</v>
      </c>
      <c r="D142" s="19" t="s">
        <v>14</v>
      </c>
      <c r="E142" s="19" t="s">
        <v>85</v>
      </c>
    </row>
    <row r="143" customFormat="false" ht="15.75" hidden="false" customHeight="false" outlineLevel="0" collapsed="false">
      <c r="A143" s="0" t="s">
        <v>478</v>
      </c>
      <c r="B143" s="0" t="s">
        <v>61</v>
      </c>
      <c r="C143" s="0" t="n">
        <v>139</v>
      </c>
      <c r="D143" s="19" t="s">
        <v>50</v>
      </c>
      <c r="E143" s="19" t="s">
        <v>40</v>
      </c>
    </row>
    <row r="144" customFormat="false" ht="15.75" hidden="false" customHeight="false" outlineLevel="0" collapsed="false">
      <c r="A144" s="0" t="s">
        <v>16</v>
      </c>
      <c r="B144" s="0" t="s">
        <v>17</v>
      </c>
      <c r="C144" s="0" t="n">
        <v>117</v>
      </c>
      <c r="D144" s="19" t="s">
        <v>22</v>
      </c>
      <c r="E144" s="19" t="s">
        <v>23</v>
      </c>
    </row>
    <row r="145" customFormat="false" ht="15.75" hidden="false" customHeight="false" outlineLevel="0" collapsed="false">
      <c r="A145" s="0" t="s">
        <v>550</v>
      </c>
      <c r="B145" s="0" t="s">
        <v>551</v>
      </c>
      <c r="C145" s="0" t="n">
        <v>117</v>
      </c>
      <c r="D145" s="19" t="s">
        <v>22</v>
      </c>
      <c r="E145" s="19" t="s">
        <v>51</v>
      </c>
    </row>
    <row r="146" customFormat="false" ht="15.75" hidden="false" customHeight="false" outlineLevel="0" collapsed="false">
      <c r="A146" s="0" t="s">
        <v>134</v>
      </c>
      <c r="B146" s="0" t="s">
        <v>135</v>
      </c>
      <c r="C146" s="0" t="n">
        <v>117</v>
      </c>
      <c r="D146" s="19" t="s">
        <v>50</v>
      </c>
      <c r="E146" s="19" t="s">
        <v>22</v>
      </c>
    </row>
    <row r="147" customFormat="false" ht="15.75" hidden="false" customHeight="false" outlineLevel="0" collapsed="false">
      <c r="A147" s="0" t="s">
        <v>508</v>
      </c>
      <c r="B147" s="0" t="s">
        <v>509</v>
      </c>
      <c r="C147" s="0" t="n">
        <v>117</v>
      </c>
      <c r="D147" s="19" t="s">
        <v>70</v>
      </c>
      <c r="E147" s="19" t="s">
        <v>65</v>
      </c>
    </row>
    <row r="148" customFormat="false" ht="15.75" hidden="false" customHeight="false" outlineLevel="0" collapsed="false">
      <c r="A148" s="0" t="s">
        <v>416</v>
      </c>
      <c r="B148" s="0" t="s">
        <v>251</v>
      </c>
      <c r="C148" s="0" t="n">
        <v>43</v>
      </c>
      <c r="D148" s="19" t="s">
        <v>29</v>
      </c>
      <c r="E148" s="19" t="s">
        <v>148</v>
      </c>
    </row>
    <row r="149" customFormat="false" ht="15.75" hidden="false" customHeight="false" outlineLevel="0" collapsed="false">
      <c r="A149" s="0" t="s">
        <v>512</v>
      </c>
      <c r="B149" s="0" t="s">
        <v>513</v>
      </c>
      <c r="C149" s="0" t="n">
        <v>117</v>
      </c>
      <c r="D149" s="19" t="s">
        <v>22</v>
      </c>
      <c r="E149" s="19" t="s">
        <v>22</v>
      </c>
    </row>
    <row r="150" customFormat="false" ht="15.75" hidden="false" customHeight="false" outlineLevel="0" collapsed="false">
      <c r="A150" s="0" t="s">
        <v>496</v>
      </c>
      <c r="B150" s="0" t="s">
        <v>97</v>
      </c>
      <c r="C150" s="0" t="n">
        <v>149</v>
      </c>
      <c r="D150" s="19" t="s">
        <v>70</v>
      </c>
      <c r="E150" s="19" t="s">
        <v>85</v>
      </c>
    </row>
    <row r="151" customFormat="false" ht="15.75" hidden="false" customHeight="false" outlineLevel="0" collapsed="false">
      <c r="A151" s="0" t="s">
        <v>168</v>
      </c>
      <c r="B151" s="0" t="s">
        <v>169</v>
      </c>
      <c r="C151" s="0" t="n">
        <v>54</v>
      </c>
      <c r="D151" s="19" t="s">
        <v>14</v>
      </c>
      <c r="E151" s="19" t="s">
        <v>85</v>
      </c>
    </row>
    <row r="152" customFormat="false" ht="15.75" hidden="false" customHeight="false" outlineLevel="0" collapsed="false">
      <c r="A152" s="0" t="s">
        <v>110</v>
      </c>
      <c r="B152" s="0" t="s">
        <v>25</v>
      </c>
      <c r="C152" s="0" t="n">
        <v>64</v>
      </c>
      <c r="D152" s="19" t="s">
        <v>14</v>
      </c>
      <c r="E152" s="19" t="s">
        <v>109</v>
      </c>
    </row>
    <row r="153" customFormat="false" ht="15.75" hidden="false" customHeight="false" outlineLevel="0" collapsed="false">
      <c r="A153" s="0" t="s">
        <v>574</v>
      </c>
      <c r="B153" s="0" t="s">
        <v>395</v>
      </c>
      <c r="C153" s="0" t="n">
        <v>117</v>
      </c>
      <c r="D153" s="19" t="s">
        <v>70</v>
      </c>
      <c r="E153" s="19" t="s">
        <v>51</v>
      </c>
    </row>
    <row r="154" customFormat="false" ht="15.75" hidden="false" customHeight="false" outlineLevel="0" collapsed="false">
      <c r="A154" s="0" t="s">
        <v>429</v>
      </c>
      <c r="B154" s="0" t="s">
        <v>430</v>
      </c>
      <c r="C154" s="0" t="n">
        <v>117</v>
      </c>
      <c r="D154" s="19" t="s">
        <v>70</v>
      </c>
      <c r="E154" s="19" t="s">
        <v>85</v>
      </c>
    </row>
    <row r="155" customFormat="false" ht="15.75" hidden="false" customHeight="false" outlineLevel="0" collapsed="false">
      <c r="A155" s="0" t="s">
        <v>671</v>
      </c>
      <c r="B155" s="0" t="s">
        <v>672</v>
      </c>
      <c r="C155" s="0" t="n">
        <v>64</v>
      </c>
      <c r="D155" s="19" t="s">
        <v>180</v>
      </c>
      <c r="E155" s="19" t="s">
        <v>51</v>
      </c>
    </row>
    <row r="156" customFormat="false" ht="15.75" hidden="false" customHeight="false" outlineLevel="0" collapsed="false">
      <c r="A156" s="0" t="s">
        <v>209</v>
      </c>
      <c r="B156" s="0" t="s">
        <v>210</v>
      </c>
      <c r="C156" s="0" t="n">
        <v>117</v>
      </c>
      <c r="D156" s="19" t="s">
        <v>148</v>
      </c>
      <c r="E156" s="19" t="s">
        <v>40</v>
      </c>
    </row>
    <row r="157" customFormat="false" ht="15.75" hidden="false" customHeight="false" outlineLevel="0" collapsed="false">
      <c r="A157" s="0" t="s">
        <v>1</v>
      </c>
      <c r="B157" s="0" t="s">
        <v>2</v>
      </c>
      <c r="C157" s="0" t="s">
        <v>4</v>
      </c>
      <c r="D157" s="19" t="s">
        <v>8</v>
      </c>
      <c r="E157" s="19" t="s">
        <v>9</v>
      </c>
    </row>
    <row r="158" customFormat="false" ht="15.75" hidden="false" customHeight="false" outlineLevel="0" collapsed="false">
      <c r="A158" s="0" t="s">
        <v>312</v>
      </c>
      <c r="B158" s="0" t="s">
        <v>313</v>
      </c>
      <c r="C158" s="0" t="n">
        <v>117</v>
      </c>
      <c r="D158" s="19" t="s">
        <v>22</v>
      </c>
      <c r="E158" s="19" t="s">
        <v>22</v>
      </c>
    </row>
    <row r="159" customFormat="false" ht="15.75" hidden="false" customHeight="false" outlineLevel="0" collapsed="false">
      <c r="A159" s="0" t="s">
        <v>138</v>
      </c>
      <c r="B159" s="0" t="s">
        <v>139</v>
      </c>
      <c r="C159" s="0" t="n">
        <v>149</v>
      </c>
      <c r="D159" s="19" t="s">
        <v>14</v>
      </c>
      <c r="E159" s="19" t="s">
        <v>65</v>
      </c>
    </row>
    <row r="160" customFormat="false" ht="15.75" hidden="false" customHeight="false" outlineLevel="0" collapsed="false">
      <c r="A160" s="0" t="s">
        <v>280</v>
      </c>
      <c r="B160" s="0" t="s">
        <v>281</v>
      </c>
      <c r="C160" s="0" t="n">
        <v>146</v>
      </c>
      <c r="D160" s="19" t="s">
        <v>14</v>
      </c>
      <c r="E160" s="19" t="s">
        <v>51</v>
      </c>
    </row>
    <row r="161" customFormat="false" ht="15.75" hidden="false" customHeight="false" outlineLevel="0" collapsed="false">
      <c r="A161" s="0" t="s">
        <v>75</v>
      </c>
      <c r="B161" s="0" t="s">
        <v>76</v>
      </c>
      <c r="C161" s="0" t="n">
        <v>117</v>
      </c>
      <c r="D161" s="19" t="s">
        <v>80</v>
      </c>
      <c r="E161" s="19" t="s">
        <v>45</v>
      </c>
    </row>
    <row r="162" customFormat="false" ht="15.75" hidden="false" customHeight="false" outlineLevel="0" collapsed="false">
      <c r="A162" s="0" t="s">
        <v>250</v>
      </c>
      <c r="B162" s="0" t="s">
        <v>251</v>
      </c>
      <c r="C162" s="0" t="n">
        <v>63</v>
      </c>
      <c r="D162" s="19" t="s">
        <v>50</v>
      </c>
      <c r="E162" s="19" t="s">
        <v>22</v>
      </c>
    </row>
    <row r="163" customFormat="false" ht="15.75" hidden="false" customHeight="false" outlineLevel="0" collapsed="false">
      <c r="A163" s="0" t="s">
        <v>635</v>
      </c>
      <c r="B163" s="0" t="s">
        <v>636</v>
      </c>
      <c r="C163" s="0" t="n">
        <v>166</v>
      </c>
      <c r="D163" s="19" t="s">
        <v>50</v>
      </c>
      <c r="E163" s="19" t="s">
        <v>29</v>
      </c>
    </row>
    <row r="164" customFormat="false" ht="15.75" hidden="false" customHeight="false" outlineLevel="0" collapsed="false">
      <c r="A164" s="1" t="s">
        <v>705</v>
      </c>
      <c r="B164" s="1" t="s">
        <v>173</v>
      </c>
      <c r="C164" s="1" t="n">
        <v>149</v>
      </c>
      <c r="D164" s="19" t="s">
        <v>51</v>
      </c>
      <c r="E164" s="19" t="s">
        <v>65</v>
      </c>
    </row>
    <row r="165" customFormat="false" ht="15.75" hidden="false" customHeight="false" outlineLevel="0" collapsed="false">
      <c r="A165" s="0" t="s">
        <v>363</v>
      </c>
      <c r="B165" s="0" t="s">
        <v>364</v>
      </c>
      <c r="C165" s="0" t="n">
        <v>64</v>
      </c>
      <c r="D165" s="19" t="s">
        <v>50</v>
      </c>
      <c r="E165" s="19" t="s">
        <v>23</v>
      </c>
    </row>
    <row r="166" customFormat="false" ht="15.75" hidden="false" customHeight="false" outlineLevel="0" collapsed="false">
      <c r="A166" s="0" t="s">
        <v>407</v>
      </c>
      <c r="B166" s="0" t="s">
        <v>377</v>
      </c>
      <c r="C166" s="0" t="n">
        <v>117</v>
      </c>
      <c r="D166" s="19" t="s">
        <v>14</v>
      </c>
      <c r="E166" s="19" t="s">
        <v>65</v>
      </c>
    </row>
    <row r="167" customFormat="false" ht="15.75" hidden="false" customHeight="false" outlineLevel="0" collapsed="false">
      <c r="A167" s="0" t="s">
        <v>358</v>
      </c>
      <c r="B167" s="0" t="s">
        <v>359</v>
      </c>
      <c r="C167" s="0" t="n">
        <v>140</v>
      </c>
      <c r="D167" s="19" t="s">
        <v>14</v>
      </c>
      <c r="E167" s="19" t="s">
        <v>15</v>
      </c>
    </row>
    <row r="168" customFormat="false" ht="15.75" hidden="false" customHeight="false" outlineLevel="0" collapsed="false">
      <c r="A168" s="0" t="s">
        <v>186</v>
      </c>
      <c r="B168" s="0" t="s">
        <v>97</v>
      </c>
      <c r="C168" s="0" t="s">
        <v>187</v>
      </c>
      <c r="D168" s="19" t="s">
        <v>14</v>
      </c>
      <c r="E168" s="19" t="s">
        <v>40</v>
      </c>
    </row>
    <row r="169" customFormat="false" ht="15.75" hidden="false" customHeight="false" outlineLevel="0" collapsed="false">
      <c r="A169" s="0" t="s">
        <v>204</v>
      </c>
      <c r="B169" s="0" t="s">
        <v>199</v>
      </c>
      <c r="C169" s="0" t="s">
        <v>205</v>
      </c>
      <c r="D169" s="19" t="s">
        <v>50</v>
      </c>
      <c r="E169" s="19" t="s">
        <v>29</v>
      </c>
    </row>
    <row r="170" customFormat="false" ht="15.75" hidden="false" customHeight="false" outlineLevel="0" collapsed="false">
      <c r="A170" s="0" t="s">
        <v>258</v>
      </c>
      <c r="B170" s="0" t="s">
        <v>259</v>
      </c>
      <c r="C170" s="0" t="n">
        <v>64</v>
      </c>
      <c r="D170" s="19" t="s">
        <v>14</v>
      </c>
      <c r="E170" s="19" t="s">
        <v>85</v>
      </c>
    </row>
    <row r="171" customFormat="false" ht="15.75" hidden="false" customHeight="false" outlineLevel="0" collapsed="false">
      <c r="A171" s="0" t="s">
        <v>198</v>
      </c>
      <c r="B171" s="0" t="s">
        <v>199</v>
      </c>
      <c r="C171" s="0" t="n">
        <v>166</v>
      </c>
      <c r="D171" s="19" t="s">
        <v>51</v>
      </c>
      <c r="E171" s="19" t="s">
        <v>85</v>
      </c>
    </row>
    <row r="172" customFormat="false" ht="15.75" hidden="false" customHeight="false" outlineLevel="0" collapsed="false">
      <c r="A172" s="0" t="s">
        <v>376</v>
      </c>
      <c r="B172" s="0" t="s">
        <v>377</v>
      </c>
      <c r="C172" s="0" t="n">
        <v>117</v>
      </c>
      <c r="D172" s="19" t="s">
        <v>50</v>
      </c>
      <c r="E172" s="19" t="s">
        <v>15</v>
      </c>
    </row>
    <row r="173" customFormat="false" ht="15.75" hidden="false" customHeight="false" outlineLevel="0" collapsed="false">
      <c r="D173" s="19"/>
      <c r="E173" s="19"/>
    </row>
    <row r="174" customFormat="false" ht="15.75" hidden="false" customHeight="false" outlineLevel="0" collapsed="false">
      <c r="D174" s="19"/>
      <c r="E174" s="19"/>
    </row>
    <row r="175" customFormat="false" ht="15.75" hidden="false" customHeight="false" outlineLevel="0" collapsed="false">
      <c r="D175" s="19"/>
      <c r="E175" s="19"/>
    </row>
    <row r="176" customFormat="false" ht="15.75" hidden="false" customHeight="false" outlineLevel="0" collapsed="false">
      <c r="D176" s="19"/>
      <c r="E176" s="19"/>
    </row>
    <row r="177" customFormat="false" ht="15.75" hidden="false" customHeight="false" outlineLevel="0" collapsed="false">
      <c r="D177" s="19"/>
      <c r="E177" s="19"/>
    </row>
    <row r="178" customFormat="false" ht="15.75" hidden="false" customHeight="false" outlineLevel="0" collapsed="false">
      <c r="D178" s="19"/>
      <c r="E178" s="19"/>
    </row>
    <row r="179" customFormat="false" ht="15.75" hidden="false" customHeight="false" outlineLevel="0" collapsed="false">
      <c r="D179" s="19"/>
      <c r="E179" s="19"/>
    </row>
    <row r="180" customFormat="false" ht="15.75" hidden="false" customHeight="false" outlineLevel="0" collapsed="false">
      <c r="D180" s="19"/>
      <c r="E180" s="19"/>
    </row>
    <row r="181" customFormat="false" ht="15.75" hidden="false" customHeight="false" outlineLevel="0" collapsed="false">
      <c r="D181" s="19"/>
      <c r="E181" s="19"/>
    </row>
    <row r="182" customFormat="false" ht="15.75" hidden="false" customHeight="false" outlineLevel="0" collapsed="false">
      <c r="D182" s="19"/>
      <c r="E182" s="19"/>
    </row>
    <row r="183" customFormat="false" ht="15.75" hidden="false" customHeight="false" outlineLevel="0" collapsed="false">
      <c r="D183" s="19"/>
      <c r="E183" s="19"/>
    </row>
    <row r="184" customFormat="false" ht="15.75" hidden="false" customHeight="false" outlineLevel="0" collapsed="false">
      <c r="D184" s="19"/>
      <c r="E184" s="19"/>
    </row>
    <row r="185" customFormat="false" ht="15.75" hidden="false" customHeight="false" outlineLevel="0" collapsed="false">
      <c r="D185" s="19"/>
      <c r="E185" s="19"/>
    </row>
    <row r="186" customFormat="false" ht="15.75" hidden="false" customHeight="false" outlineLevel="0" collapsed="false">
      <c r="D186" s="19"/>
      <c r="E186" s="19"/>
    </row>
    <row r="187" customFormat="false" ht="15.75" hidden="false" customHeight="false" outlineLevel="0" collapsed="false">
      <c r="D187" s="19"/>
      <c r="E187" s="19"/>
    </row>
    <row r="188" customFormat="false" ht="15.75" hidden="false" customHeight="false" outlineLevel="0" collapsed="false">
      <c r="D188" s="19"/>
      <c r="E188" s="19"/>
    </row>
    <row r="189" customFormat="false" ht="15.75" hidden="false" customHeight="false" outlineLevel="0" collapsed="false">
      <c r="D189" s="19"/>
      <c r="E189" s="19"/>
    </row>
    <row r="190" customFormat="false" ht="15.75" hidden="false" customHeight="false" outlineLevel="0" collapsed="false">
      <c r="D190" s="19"/>
      <c r="E190" s="19"/>
    </row>
    <row r="191" customFormat="false" ht="15.75" hidden="false" customHeight="false" outlineLevel="0" collapsed="false">
      <c r="D191" s="19"/>
      <c r="E191" s="19"/>
    </row>
    <row r="192" customFormat="false" ht="15.75" hidden="false" customHeight="false" outlineLevel="0" collapsed="false">
      <c r="D192" s="19"/>
      <c r="E192" s="19"/>
    </row>
    <row r="193" customFormat="false" ht="15.75" hidden="false" customHeight="false" outlineLevel="0" collapsed="false">
      <c r="D193" s="19"/>
      <c r="E193" s="19"/>
    </row>
    <row r="194" customFormat="false" ht="15.75" hidden="false" customHeight="false" outlineLevel="0" collapsed="false">
      <c r="D194" s="19"/>
      <c r="E194" s="19"/>
    </row>
    <row r="195" customFormat="false" ht="15.75" hidden="false" customHeight="false" outlineLevel="0" collapsed="false">
      <c r="D195" s="19"/>
      <c r="E195" s="19"/>
    </row>
    <row r="196" customFormat="false" ht="15.75" hidden="false" customHeight="false" outlineLevel="0" collapsed="false">
      <c r="D196" s="19"/>
      <c r="E196" s="19"/>
    </row>
    <row r="197" customFormat="false" ht="15.75" hidden="false" customHeight="false" outlineLevel="0" collapsed="false">
      <c r="D197" s="19"/>
      <c r="E197" s="19"/>
    </row>
    <row r="198" customFormat="false" ht="15.75" hidden="false" customHeight="false" outlineLevel="0" collapsed="false">
      <c r="D198" s="19"/>
      <c r="E198" s="19"/>
    </row>
    <row r="199" customFormat="false" ht="15.75" hidden="false" customHeight="false" outlineLevel="0" collapsed="false">
      <c r="D199" s="19"/>
      <c r="E199" s="19"/>
    </row>
    <row r="200" customFormat="false" ht="15.75" hidden="false" customHeight="false" outlineLevel="0" collapsed="false">
      <c r="D200" s="19"/>
      <c r="E200" s="19"/>
    </row>
    <row r="201" customFormat="false" ht="15.75" hidden="false" customHeight="false" outlineLevel="0" collapsed="false">
      <c r="D201" s="19"/>
      <c r="E201" s="19"/>
    </row>
    <row r="202" customFormat="false" ht="15.75" hidden="false" customHeight="false" outlineLevel="0" collapsed="false">
      <c r="D202" s="19"/>
      <c r="E202" s="19"/>
    </row>
    <row r="203" customFormat="false" ht="15.75" hidden="false" customHeight="false" outlineLevel="0" collapsed="false">
      <c r="D203" s="19"/>
      <c r="E203" s="19"/>
    </row>
    <row r="204" customFormat="false" ht="15.75" hidden="false" customHeight="false" outlineLevel="0" collapsed="false">
      <c r="D204" s="19"/>
      <c r="E204" s="19"/>
    </row>
    <row r="205" customFormat="false" ht="15.75" hidden="false" customHeight="false" outlineLevel="0" collapsed="false">
      <c r="D205" s="19"/>
      <c r="E205" s="19"/>
    </row>
    <row r="206" customFormat="false" ht="15.75" hidden="false" customHeight="false" outlineLevel="0" collapsed="false">
      <c r="D206" s="19"/>
      <c r="E206" s="19"/>
    </row>
    <row r="207" customFormat="false" ht="15.75" hidden="false" customHeight="false" outlineLevel="0" collapsed="false">
      <c r="D207" s="19"/>
      <c r="E207" s="19"/>
    </row>
    <row r="208" customFormat="false" ht="15.75" hidden="false" customHeight="false" outlineLevel="0" collapsed="false">
      <c r="D208" s="19"/>
      <c r="E208" s="19"/>
    </row>
    <row r="209" customFormat="false" ht="15.75" hidden="false" customHeight="false" outlineLevel="0" collapsed="false">
      <c r="D209" s="19"/>
      <c r="E209" s="19"/>
    </row>
    <row r="210" customFormat="false" ht="15.75" hidden="false" customHeight="false" outlineLevel="0" collapsed="false">
      <c r="D210" s="19"/>
      <c r="E210" s="19"/>
    </row>
    <row r="211" customFormat="false" ht="15.75" hidden="false" customHeight="false" outlineLevel="0" collapsed="false">
      <c r="D211" s="19"/>
      <c r="E211" s="19"/>
    </row>
    <row r="212" customFormat="false" ht="15.75" hidden="false" customHeight="false" outlineLevel="0" collapsed="false">
      <c r="D212" s="19"/>
      <c r="E212" s="19"/>
    </row>
    <row r="213" customFormat="false" ht="15.75" hidden="false" customHeight="false" outlineLevel="0" collapsed="false">
      <c r="D213" s="19"/>
      <c r="E213" s="19"/>
    </row>
    <row r="214" customFormat="false" ht="15.75" hidden="false" customHeight="false" outlineLevel="0" collapsed="false">
      <c r="D214" s="19"/>
      <c r="E214" s="19"/>
    </row>
    <row r="215" customFormat="false" ht="15.75" hidden="false" customHeight="false" outlineLevel="0" collapsed="false">
      <c r="D215" s="19"/>
      <c r="E215" s="19"/>
    </row>
    <row r="216" customFormat="false" ht="15.75" hidden="false" customHeight="false" outlineLevel="0" collapsed="false">
      <c r="D216" s="19"/>
      <c r="E216" s="19"/>
    </row>
    <row r="217" customFormat="false" ht="15.75" hidden="false" customHeight="false" outlineLevel="0" collapsed="false">
      <c r="D217" s="19"/>
      <c r="E217" s="19"/>
    </row>
    <row r="218" customFormat="false" ht="15.75" hidden="false" customHeight="false" outlineLevel="0" collapsed="false">
      <c r="D218" s="19"/>
      <c r="E218" s="19"/>
    </row>
    <row r="219" customFormat="false" ht="15.75" hidden="false" customHeight="false" outlineLevel="0" collapsed="false">
      <c r="D219" s="19"/>
      <c r="E219" s="19"/>
    </row>
    <row r="220" customFormat="false" ht="15.75" hidden="false" customHeight="false" outlineLevel="0" collapsed="false">
      <c r="D220" s="19"/>
      <c r="E220" s="19"/>
    </row>
    <row r="221" customFormat="false" ht="15.75" hidden="false" customHeight="false" outlineLevel="0" collapsed="false">
      <c r="D221" s="19"/>
      <c r="E221" s="19"/>
    </row>
    <row r="222" customFormat="false" ht="15.75" hidden="false" customHeight="false" outlineLevel="0" collapsed="false">
      <c r="D222" s="19"/>
      <c r="E222" s="19"/>
    </row>
    <row r="223" customFormat="false" ht="15.75" hidden="false" customHeight="false" outlineLevel="0" collapsed="false">
      <c r="D223" s="19"/>
      <c r="E223" s="19"/>
    </row>
    <row r="224" customFormat="false" ht="15.75" hidden="false" customHeight="false" outlineLevel="0" collapsed="false">
      <c r="D224" s="19"/>
      <c r="E224" s="19"/>
    </row>
    <row r="225" customFormat="false" ht="15.75" hidden="false" customHeight="false" outlineLevel="0" collapsed="false">
      <c r="D225" s="19"/>
      <c r="E225" s="19"/>
    </row>
    <row r="226" customFormat="false" ht="15.75" hidden="false" customHeight="false" outlineLevel="0" collapsed="false">
      <c r="D226" s="19"/>
      <c r="E226" s="19"/>
    </row>
    <row r="227" customFormat="false" ht="15.75" hidden="false" customHeight="false" outlineLevel="0" collapsed="false">
      <c r="D227" s="19"/>
      <c r="E227" s="19"/>
    </row>
    <row r="228" customFormat="false" ht="15.75" hidden="false" customHeight="false" outlineLevel="0" collapsed="false">
      <c r="D228" s="19"/>
      <c r="E228" s="19"/>
    </row>
    <row r="229" customFormat="false" ht="15.75" hidden="false" customHeight="false" outlineLevel="0" collapsed="false">
      <c r="D229" s="19"/>
      <c r="E229" s="19"/>
    </row>
    <row r="230" customFormat="false" ht="15.75" hidden="false" customHeight="false" outlineLevel="0" collapsed="false">
      <c r="D230" s="19"/>
      <c r="E230" s="19"/>
    </row>
    <row r="231" customFormat="false" ht="15.75" hidden="false" customHeight="false" outlineLevel="0" collapsed="false">
      <c r="D231" s="19"/>
      <c r="E231" s="19"/>
    </row>
    <row r="232" customFormat="false" ht="15.75" hidden="false" customHeight="false" outlineLevel="0" collapsed="false">
      <c r="D232" s="19"/>
      <c r="E232" s="19"/>
    </row>
    <row r="233" customFormat="false" ht="15.75" hidden="false" customHeight="false" outlineLevel="0" collapsed="false">
      <c r="D233" s="19"/>
      <c r="E233" s="19"/>
    </row>
    <row r="234" customFormat="false" ht="15.75" hidden="false" customHeight="false" outlineLevel="0" collapsed="false">
      <c r="D234" s="19"/>
      <c r="E234" s="19"/>
    </row>
    <row r="235" customFormat="false" ht="15.75" hidden="false" customHeight="false" outlineLevel="0" collapsed="false">
      <c r="D235" s="19"/>
      <c r="E235" s="19"/>
    </row>
    <row r="236" customFormat="false" ht="15.75" hidden="false" customHeight="false" outlineLevel="0" collapsed="false">
      <c r="D236" s="19"/>
      <c r="E236" s="19"/>
    </row>
    <row r="237" customFormat="false" ht="15.75" hidden="false" customHeight="false" outlineLevel="0" collapsed="false">
      <c r="D237" s="19"/>
      <c r="E237" s="19"/>
    </row>
    <row r="238" customFormat="false" ht="15.75" hidden="false" customHeight="false" outlineLevel="0" collapsed="false">
      <c r="D238" s="19"/>
      <c r="E238" s="19"/>
    </row>
    <row r="239" customFormat="false" ht="15.75" hidden="false" customHeight="false" outlineLevel="0" collapsed="false">
      <c r="D239" s="19"/>
      <c r="E239" s="19"/>
    </row>
    <row r="240" customFormat="false" ht="15.75" hidden="false" customHeight="false" outlineLevel="0" collapsed="false">
      <c r="D240" s="19"/>
      <c r="E240" s="19"/>
    </row>
    <row r="241" customFormat="false" ht="15.75" hidden="false" customHeight="false" outlineLevel="0" collapsed="false">
      <c r="D241" s="19"/>
      <c r="E241" s="19"/>
    </row>
    <row r="242" customFormat="false" ht="15.75" hidden="false" customHeight="false" outlineLevel="0" collapsed="false">
      <c r="D242" s="19"/>
      <c r="E242" s="19"/>
    </row>
    <row r="243" customFormat="false" ht="15.75" hidden="false" customHeight="false" outlineLevel="0" collapsed="false">
      <c r="D243" s="19"/>
      <c r="E243" s="19"/>
    </row>
    <row r="244" customFormat="false" ht="15.75" hidden="false" customHeight="false" outlineLevel="0" collapsed="false">
      <c r="D244" s="19"/>
      <c r="E244" s="19"/>
    </row>
    <row r="245" customFormat="false" ht="15.75" hidden="false" customHeight="false" outlineLevel="0" collapsed="false">
      <c r="D245" s="19"/>
      <c r="E245" s="19"/>
    </row>
    <row r="246" customFormat="false" ht="15.75" hidden="false" customHeight="false" outlineLevel="0" collapsed="false">
      <c r="D246" s="19"/>
      <c r="E246" s="19"/>
    </row>
    <row r="247" customFormat="false" ht="15.75" hidden="false" customHeight="false" outlineLevel="0" collapsed="false">
      <c r="D247" s="19"/>
      <c r="E247" s="19"/>
    </row>
    <row r="248" customFormat="false" ht="15.75" hidden="false" customHeight="false" outlineLevel="0" collapsed="false">
      <c r="D248" s="19"/>
      <c r="E248" s="19"/>
    </row>
    <row r="249" customFormat="false" ht="15.75" hidden="false" customHeight="false" outlineLevel="0" collapsed="false">
      <c r="D249" s="19"/>
      <c r="E249" s="19"/>
    </row>
    <row r="250" customFormat="false" ht="15.75" hidden="false" customHeight="false" outlineLevel="0" collapsed="false">
      <c r="D250" s="19"/>
      <c r="E250" s="19"/>
    </row>
    <row r="251" customFormat="false" ht="15.75" hidden="false" customHeight="false" outlineLevel="0" collapsed="false">
      <c r="D251" s="19"/>
      <c r="E251" s="19"/>
    </row>
    <row r="252" customFormat="false" ht="15.75" hidden="false" customHeight="false" outlineLevel="0" collapsed="false">
      <c r="D252" s="19"/>
      <c r="E252" s="19"/>
    </row>
    <row r="253" customFormat="false" ht="15.75" hidden="false" customHeight="false" outlineLevel="0" collapsed="false">
      <c r="D253" s="19"/>
      <c r="E253" s="19"/>
    </row>
    <row r="254" customFormat="false" ht="15.75" hidden="false" customHeight="false" outlineLevel="0" collapsed="false">
      <c r="D254" s="19"/>
      <c r="E254" s="19"/>
    </row>
    <row r="255" customFormat="false" ht="15.75" hidden="false" customHeight="false" outlineLevel="0" collapsed="false">
      <c r="D255" s="19"/>
      <c r="E255" s="19"/>
    </row>
    <row r="256" customFormat="false" ht="15.75" hidden="false" customHeight="false" outlineLevel="0" collapsed="false">
      <c r="D256" s="19"/>
      <c r="E256" s="19"/>
    </row>
    <row r="257" customFormat="false" ht="15.75" hidden="false" customHeight="false" outlineLevel="0" collapsed="false">
      <c r="D257" s="19"/>
      <c r="E257" s="19"/>
    </row>
    <row r="258" customFormat="false" ht="15.75" hidden="false" customHeight="false" outlineLevel="0" collapsed="false">
      <c r="D258" s="19"/>
      <c r="E258" s="19"/>
    </row>
    <row r="259" customFormat="false" ht="15.75" hidden="false" customHeight="false" outlineLevel="0" collapsed="false">
      <c r="D259" s="19"/>
      <c r="E259" s="19"/>
    </row>
    <row r="260" customFormat="false" ht="15.75" hidden="false" customHeight="false" outlineLevel="0" collapsed="false">
      <c r="D260" s="19"/>
      <c r="E260" s="19"/>
    </row>
    <row r="261" customFormat="false" ht="15.75" hidden="false" customHeight="false" outlineLevel="0" collapsed="false">
      <c r="D261" s="19"/>
      <c r="E261" s="19"/>
    </row>
    <row r="262" customFormat="false" ht="15.75" hidden="false" customHeight="false" outlineLevel="0" collapsed="false">
      <c r="D262" s="19"/>
      <c r="E262" s="19"/>
    </row>
    <row r="263" customFormat="false" ht="15.75" hidden="false" customHeight="false" outlineLevel="0" collapsed="false">
      <c r="D263" s="19"/>
      <c r="E263" s="19"/>
    </row>
    <row r="264" customFormat="false" ht="15.75" hidden="false" customHeight="false" outlineLevel="0" collapsed="false">
      <c r="D264" s="19"/>
      <c r="E264" s="19"/>
    </row>
    <row r="265" customFormat="false" ht="15.75" hidden="false" customHeight="false" outlineLevel="0" collapsed="false">
      <c r="D265" s="19"/>
      <c r="E265" s="19"/>
    </row>
    <row r="266" customFormat="false" ht="15.75" hidden="false" customHeight="false" outlineLevel="0" collapsed="false">
      <c r="D266" s="19"/>
      <c r="E266" s="19"/>
    </row>
    <row r="267" customFormat="false" ht="15.75" hidden="false" customHeight="false" outlineLevel="0" collapsed="false">
      <c r="D267" s="19"/>
      <c r="E267" s="19"/>
    </row>
    <row r="268" customFormat="false" ht="15.75" hidden="false" customHeight="false" outlineLevel="0" collapsed="false">
      <c r="D268" s="19"/>
      <c r="E268" s="19"/>
    </row>
    <row r="269" customFormat="false" ht="15.75" hidden="false" customHeight="false" outlineLevel="0" collapsed="false">
      <c r="D269" s="19"/>
      <c r="E269" s="19"/>
    </row>
    <row r="270" customFormat="false" ht="15.75" hidden="false" customHeight="false" outlineLevel="0" collapsed="false">
      <c r="D270" s="19"/>
      <c r="E270" s="19"/>
    </row>
    <row r="271" customFormat="false" ht="15.75" hidden="false" customHeight="false" outlineLevel="0" collapsed="false">
      <c r="D271" s="19"/>
      <c r="E271" s="19"/>
    </row>
    <row r="272" customFormat="false" ht="15.75" hidden="false" customHeight="false" outlineLevel="0" collapsed="false">
      <c r="D272" s="19"/>
      <c r="E272" s="19"/>
    </row>
    <row r="273" customFormat="false" ht="15.75" hidden="false" customHeight="false" outlineLevel="0" collapsed="false">
      <c r="D273" s="19"/>
      <c r="E273" s="19"/>
    </row>
    <row r="274" customFormat="false" ht="15.75" hidden="false" customHeight="false" outlineLevel="0" collapsed="false">
      <c r="D274" s="19"/>
      <c r="E274" s="19"/>
    </row>
    <row r="275" customFormat="false" ht="15.75" hidden="false" customHeight="false" outlineLevel="0" collapsed="false">
      <c r="D275" s="19"/>
      <c r="E275" s="19"/>
    </row>
    <row r="276" customFormat="false" ht="15.75" hidden="false" customHeight="false" outlineLevel="0" collapsed="false">
      <c r="D276" s="19"/>
      <c r="E276" s="19"/>
    </row>
    <row r="277" customFormat="false" ht="15.75" hidden="false" customHeight="false" outlineLevel="0" collapsed="false">
      <c r="D277" s="19"/>
      <c r="E277" s="19"/>
    </row>
    <row r="278" customFormat="false" ht="15.75" hidden="false" customHeight="false" outlineLevel="0" collapsed="false">
      <c r="D278" s="19"/>
      <c r="E278" s="19"/>
    </row>
    <row r="279" customFormat="false" ht="15.75" hidden="false" customHeight="false" outlineLevel="0" collapsed="false">
      <c r="D279" s="19"/>
      <c r="E279" s="19"/>
    </row>
    <row r="280" customFormat="false" ht="15.75" hidden="false" customHeight="false" outlineLevel="0" collapsed="false">
      <c r="D280" s="19"/>
      <c r="E280" s="19"/>
    </row>
    <row r="281" customFormat="false" ht="15.75" hidden="false" customHeight="false" outlineLevel="0" collapsed="false">
      <c r="D281" s="19"/>
      <c r="E281" s="19"/>
    </row>
    <row r="282" customFormat="false" ht="15.75" hidden="false" customHeight="false" outlineLevel="0" collapsed="false">
      <c r="D282" s="19"/>
      <c r="E282" s="19"/>
    </row>
    <row r="283" customFormat="false" ht="15.75" hidden="false" customHeight="false" outlineLevel="0" collapsed="false">
      <c r="D283" s="19"/>
      <c r="E283" s="19"/>
    </row>
    <row r="284" customFormat="false" ht="15.75" hidden="false" customHeight="false" outlineLevel="0" collapsed="false">
      <c r="D284" s="19"/>
      <c r="E284" s="19"/>
    </row>
    <row r="285" customFormat="false" ht="15.75" hidden="false" customHeight="false" outlineLevel="0" collapsed="false">
      <c r="D285" s="19"/>
      <c r="E285" s="19"/>
    </row>
    <row r="286" customFormat="false" ht="15.75" hidden="false" customHeight="false" outlineLevel="0" collapsed="false">
      <c r="D286" s="19"/>
      <c r="E286" s="19"/>
    </row>
    <row r="287" customFormat="false" ht="15.75" hidden="false" customHeight="false" outlineLevel="0" collapsed="false">
      <c r="D287" s="19"/>
      <c r="E287" s="19"/>
    </row>
    <row r="288" customFormat="false" ht="15.75" hidden="false" customHeight="false" outlineLevel="0" collapsed="false">
      <c r="D288" s="19"/>
      <c r="E288" s="19"/>
    </row>
    <row r="289" customFormat="false" ht="15.75" hidden="false" customHeight="false" outlineLevel="0" collapsed="false">
      <c r="D289" s="19"/>
      <c r="E289" s="19"/>
    </row>
    <row r="290" customFormat="false" ht="15.75" hidden="false" customHeight="false" outlineLevel="0" collapsed="false">
      <c r="D290" s="19"/>
      <c r="E290" s="19"/>
    </row>
    <row r="291" customFormat="false" ht="15.75" hidden="false" customHeight="false" outlineLevel="0" collapsed="false">
      <c r="D291" s="19"/>
      <c r="E291" s="19"/>
    </row>
    <row r="292" customFormat="false" ht="15.75" hidden="false" customHeight="false" outlineLevel="0" collapsed="false">
      <c r="D292" s="19"/>
      <c r="E292" s="19"/>
    </row>
    <row r="293" customFormat="false" ht="15.75" hidden="false" customHeight="false" outlineLevel="0" collapsed="false">
      <c r="D293" s="19"/>
      <c r="E293" s="19"/>
    </row>
    <row r="294" customFormat="false" ht="15.75" hidden="false" customHeight="false" outlineLevel="0" collapsed="false">
      <c r="D294" s="19"/>
      <c r="E294" s="19"/>
    </row>
    <row r="295" customFormat="false" ht="15.75" hidden="false" customHeight="false" outlineLevel="0" collapsed="false">
      <c r="D295" s="19"/>
      <c r="E295" s="19"/>
    </row>
    <row r="296" customFormat="false" ht="15.75" hidden="false" customHeight="false" outlineLevel="0" collapsed="false">
      <c r="D296" s="19"/>
      <c r="E296" s="19"/>
    </row>
    <row r="297" customFormat="false" ht="15.75" hidden="false" customHeight="false" outlineLevel="0" collapsed="false">
      <c r="D297" s="19"/>
      <c r="E297" s="19"/>
    </row>
    <row r="298" customFormat="false" ht="15.75" hidden="false" customHeight="false" outlineLevel="0" collapsed="false">
      <c r="D298" s="19"/>
      <c r="E298" s="19"/>
    </row>
    <row r="299" customFormat="false" ht="15.75" hidden="false" customHeight="false" outlineLevel="0" collapsed="false">
      <c r="D299" s="19"/>
      <c r="E299" s="19"/>
    </row>
    <row r="300" customFormat="false" ht="15.75" hidden="false" customHeight="false" outlineLevel="0" collapsed="false">
      <c r="D300" s="19"/>
      <c r="E300" s="19"/>
    </row>
    <row r="301" customFormat="false" ht="15.75" hidden="false" customHeight="false" outlineLevel="0" collapsed="false">
      <c r="D301" s="19"/>
      <c r="E301" s="19"/>
    </row>
    <row r="302" customFormat="false" ht="15.75" hidden="false" customHeight="false" outlineLevel="0" collapsed="false">
      <c r="D302" s="19"/>
      <c r="E302" s="19"/>
    </row>
    <row r="303" customFormat="false" ht="15.75" hidden="false" customHeight="false" outlineLevel="0" collapsed="false">
      <c r="D303" s="19"/>
      <c r="E303" s="19"/>
    </row>
    <row r="304" customFormat="false" ht="15.75" hidden="false" customHeight="false" outlineLevel="0" collapsed="false">
      <c r="D304" s="19"/>
      <c r="E304" s="19"/>
    </row>
    <row r="305" customFormat="false" ht="15.75" hidden="false" customHeight="false" outlineLevel="0" collapsed="false">
      <c r="D305" s="19"/>
      <c r="E305" s="19"/>
    </row>
    <row r="306" customFormat="false" ht="15.75" hidden="false" customHeight="false" outlineLevel="0" collapsed="false">
      <c r="D306" s="19"/>
      <c r="E306" s="19"/>
    </row>
    <row r="307" customFormat="false" ht="15.75" hidden="false" customHeight="false" outlineLevel="0" collapsed="false">
      <c r="D307" s="19"/>
      <c r="E307" s="19"/>
    </row>
    <row r="308" customFormat="false" ht="15.75" hidden="false" customHeight="false" outlineLevel="0" collapsed="false">
      <c r="D308" s="19"/>
      <c r="E308" s="19"/>
    </row>
    <row r="309" customFormat="false" ht="15.75" hidden="false" customHeight="false" outlineLevel="0" collapsed="false">
      <c r="D309" s="19"/>
      <c r="E309" s="19"/>
    </row>
    <row r="310" customFormat="false" ht="15.75" hidden="false" customHeight="false" outlineLevel="0" collapsed="false">
      <c r="D310" s="19"/>
      <c r="E310" s="19"/>
    </row>
    <row r="311" customFormat="false" ht="15.75" hidden="false" customHeight="false" outlineLevel="0" collapsed="false">
      <c r="D311" s="19"/>
      <c r="E311" s="19"/>
    </row>
    <row r="312" customFormat="false" ht="15.75" hidden="false" customHeight="false" outlineLevel="0" collapsed="false">
      <c r="D312" s="19"/>
      <c r="E312" s="19"/>
    </row>
    <row r="313" customFormat="false" ht="15.75" hidden="false" customHeight="false" outlineLevel="0" collapsed="false">
      <c r="D313" s="19"/>
      <c r="E313" s="19"/>
    </row>
    <row r="314" customFormat="false" ht="15.75" hidden="false" customHeight="false" outlineLevel="0" collapsed="false">
      <c r="D314" s="19"/>
      <c r="E314" s="19"/>
    </row>
    <row r="315" customFormat="false" ht="15.75" hidden="false" customHeight="false" outlineLevel="0" collapsed="false">
      <c r="D315" s="19"/>
      <c r="E315" s="19"/>
    </row>
    <row r="316" customFormat="false" ht="15.75" hidden="false" customHeight="false" outlineLevel="0" collapsed="false">
      <c r="D316" s="19"/>
      <c r="E316" s="19"/>
    </row>
    <row r="317" customFormat="false" ht="15.75" hidden="false" customHeight="false" outlineLevel="0" collapsed="false">
      <c r="D317" s="19"/>
      <c r="E317" s="19"/>
    </row>
    <row r="318" customFormat="false" ht="15.75" hidden="false" customHeight="false" outlineLevel="0" collapsed="false">
      <c r="D318" s="19"/>
      <c r="E318" s="19"/>
    </row>
    <row r="319" customFormat="false" ht="15.75" hidden="false" customHeight="false" outlineLevel="0" collapsed="false">
      <c r="D319" s="19"/>
      <c r="E319" s="19"/>
    </row>
    <row r="320" customFormat="false" ht="15.75" hidden="false" customHeight="false" outlineLevel="0" collapsed="false">
      <c r="D320" s="19"/>
      <c r="E320" s="19"/>
    </row>
    <row r="321" customFormat="false" ht="15.75" hidden="false" customHeight="false" outlineLevel="0" collapsed="false">
      <c r="D321" s="19"/>
      <c r="E321" s="19"/>
    </row>
    <row r="322" customFormat="false" ht="15.75" hidden="false" customHeight="false" outlineLevel="0" collapsed="false">
      <c r="D322" s="19"/>
      <c r="E322" s="19"/>
    </row>
    <row r="323" customFormat="false" ht="15.75" hidden="false" customHeight="false" outlineLevel="0" collapsed="false">
      <c r="D323" s="19"/>
      <c r="E323" s="19"/>
    </row>
    <row r="324" customFormat="false" ht="15.75" hidden="false" customHeight="false" outlineLevel="0" collapsed="false">
      <c r="D324" s="19"/>
      <c r="E324" s="19"/>
    </row>
    <row r="325" customFormat="false" ht="15.75" hidden="false" customHeight="false" outlineLevel="0" collapsed="false">
      <c r="D325" s="19"/>
      <c r="E325" s="19"/>
    </row>
    <row r="326" customFormat="false" ht="15.75" hidden="false" customHeight="false" outlineLevel="0" collapsed="false">
      <c r="D326" s="19"/>
      <c r="E326" s="19"/>
    </row>
    <row r="327" customFormat="false" ht="15.75" hidden="false" customHeight="false" outlineLevel="0" collapsed="false">
      <c r="D327" s="19"/>
      <c r="E327" s="19"/>
    </row>
    <row r="328" customFormat="false" ht="15.75" hidden="false" customHeight="false" outlineLevel="0" collapsed="false">
      <c r="D328" s="19"/>
      <c r="E328" s="19"/>
    </row>
    <row r="329" customFormat="false" ht="15.75" hidden="false" customHeight="false" outlineLevel="0" collapsed="false">
      <c r="D329" s="19"/>
      <c r="E329" s="19"/>
    </row>
    <row r="330" customFormat="false" ht="15.75" hidden="false" customHeight="false" outlineLevel="0" collapsed="false">
      <c r="D330" s="19"/>
      <c r="E330" s="19"/>
    </row>
    <row r="331" customFormat="false" ht="15.75" hidden="false" customHeight="false" outlineLevel="0" collapsed="false">
      <c r="D331" s="19"/>
      <c r="E331" s="19"/>
    </row>
    <row r="332" customFormat="false" ht="15.75" hidden="false" customHeight="false" outlineLevel="0" collapsed="false">
      <c r="D332" s="19"/>
      <c r="E332" s="19"/>
    </row>
    <row r="333" customFormat="false" ht="15.75" hidden="false" customHeight="false" outlineLevel="0" collapsed="false">
      <c r="D333" s="19"/>
      <c r="E333" s="19"/>
    </row>
    <row r="334" customFormat="false" ht="15.75" hidden="false" customHeight="false" outlineLevel="0" collapsed="false">
      <c r="D334" s="19"/>
      <c r="E334" s="19"/>
    </row>
    <row r="335" customFormat="false" ht="15.75" hidden="false" customHeight="false" outlineLevel="0" collapsed="false">
      <c r="D335" s="19"/>
      <c r="E335" s="19"/>
    </row>
    <row r="336" customFormat="false" ht="15.75" hidden="false" customHeight="false" outlineLevel="0" collapsed="false">
      <c r="D336" s="19"/>
      <c r="E336" s="19"/>
    </row>
    <row r="337" customFormat="false" ht="15.75" hidden="false" customHeight="false" outlineLevel="0" collapsed="false">
      <c r="D337" s="19"/>
      <c r="E337" s="19"/>
    </row>
    <row r="338" customFormat="false" ht="15.75" hidden="false" customHeight="false" outlineLevel="0" collapsed="false">
      <c r="D338" s="19"/>
      <c r="E338" s="19"/>
    </row>
    <row r="339" customFormat="false" ht="15.75" hidden="false" customHeight="false" outlineLevel="0" collapsed="false">
      <c r="D339" s="19"/>
      <c r="E339" s="19"/>
    </row>
    <row r="340" customFormat="false" ht="15.75" hidden="false" customHeight="false" outlineLevel="0" collapsed="false">
      <c r="D340" s="19"/>
      <c r="E340" s="19"/>
    </row>
    <row r="341" customFormat="false" ht="15.75" hidden="false" customHeight="false" outlineLevel="0" collapsed="false">
      <c r="D341" s="19"/>
      <c r="E341" s="19"/>
    </row>
    <row r="342" customFormat="false" ht="15.75" hidden="false" customHeight="false" outlineLevel="0" collapsed="false">
      <c r="D342" s="19"/>
      <c r="E342" s="19"/>
    </row>
    <row r="343" customFormat="false" ht="15.75" hidden="false" customHeight="false" outlineLevel="0" collapsed="false">
      <c r="D343" s="19"/>
      <c r="E343" s="19"/>
    </row>
    <row r="344" customFormat="false" ht="15.75" hidden="false" customHeight="false" outlineLevel="0" collapsed="false">
      <c r="D344" s="19"/>
      <c r="E344" s="19"/>
    </row>
    <row r="345" customFormat="false" ht="15.75" hidden="false" customHeight="false" outlineLevel="0" collapsed="false">
      <c r="D345" s="19"/>
      <c r="E345" s="19"/>
    </row>
    <row r="346" customFormat="false" ht="15.75" hidden="false" customHeight="false" outlineLevel="0" collapsed="false">
      <c r="D346" s="19"/>
      <c r="E346" s="19"/>
    </row>
    <row r="347" customFormat="false" ht="15.75" hidden="false" customHeight="false" outlineLevel="0" collapsed="false">
      <c r="D347" s="19"/>
      <c r="E347" s="19"/>
    </row>
    <row r="348" customFormat="false" ht="15.75" hidden="false" customHeight="false" outlineLevel="0" collapsed="false">
      <c r="D348" s="19"/>
      <c r="E348" s="19"/>
    </row>
    <row r="349" customFormat="false" ht="15.75" hidden="false" customHeight="false" outlineLevel="0" collapsed="false">
      <c r="D349" s="19"/>
      <c r="E349" s="19"/>
    </row>
    <row r="350" customFormat="false" ht="15.75" hidden="false" customHeight="false" outlineLevel="0" collapsed="false">
      <c r="D350" s="19"/>
      <c r="E350" s="19"/>
    </row>
    <row r="351" customFormat="false" ht="15.75" hidden="false" customHeight="false" outlineLevel="0" collapsed="false">
      <c r="D351" s="19"/>
      <c r="E351" s="19"/>
    </row>
    <row r="352" customFormat="false" ht="15.75" hidden="false" customHeight="false" outlineLevel="0" collapsed="false">
      <c r="D352" s="19"/>
      <c r="E352" s="19"/>
    </row>
    <row r="353" customFormat="false" ht="15.75" hidden="false" customHeight="false" outlineLevel="0" collapsed="false">
      <c r="D353" s="19"/>
      <c r="E353" s="19"/>
    </row>
    <row r="354" customFormat="false" ht="15.75" hidden="false" customHeight="false" outlineLevel="0" collapsed="false">
      <c r="D354" s="19"/>
      <c r="E354" s="19"/>
    </row>
    <row r="355" customFormat="false" ht="15.75" hidden="false" customHeight="false" outlineLevel="0" collapsed="false">
      <c r="D355" s="19"/>
      <c r="E355" s="19"/>
    </row>
    <row r="356" customFormat="false" ht="15.75" hidden="false" customHeight="false" outlineLevel="0" collapsed="false">
      <c r="D356" s="19"/>
      <c r="E356" s="19"/>
    </row>
    <row r="357" customFormat="false" ht="15.75" hidden="false" customHeight="false" outlineLevel="0" collapsed="false">
      <c r="D357" s="19"/>
      <c r="E357" s="19"/>
    </row>
    <row r="358" customFormat="false" ht="15.75" hidden="false" customHeight="false" outlineLevel="0" collapsed="false">
      <c r="D358" s="19"/>
      <c r="E358" s="19"/>
    </row>
    <row r="359" customFormat="false" ht="15.75" hidden="false" customHeight="false" outlineLevel="0" collapsed="false">
      <c r="D359" s="19"/>
      <c r="E359" s="19"/>
    </row>
    <row r="360" customFormat="false" ht="15.75" hidden="false" customHeight="false" outlineLevel="0" collapsed="false">
      <c r="D360" s="19"/>
      <c r="E360" s="19"/>
    </row>
    <row r="361" customFormat="false" ht="15.75" hidden="false" customHeight="false" outlineLevel="0" collapsed="false">
      <c r="D361" s="19"/>
      <c r="E361" s="19"/>
    </row>
    <row r="362" customFormat="false" ht="15.75" hidden="false" customHeight="false" outlineLevel="0" collapsed="false">
      <c r="D362" s="19"/>
      <c r="E362" s="19"/>
    </row>
    <row r="363" customFormat="false" ht="15.75" hidden="false" customHeight="false" outlineLevel="0" collapsed="false">
      <c r="D363" s="19"/>
      <c r="E363" s="19"/>
    </row>
    <row r="364" customFormat="false" ht="15.75" hidden="false" customHeight="false" outlineLevel="0" collapsed="false">
      <c r="D364" s="19"/>
      <c r="E364" s="19"/>
    </row>
    <row r="365" customFormat="false" ht="15.75" hidden="false" customHeight="false" outlineLevel="0" collapsed="false">
      <c r="D365" s="19"/>
      <c r="E365" s="19"/>
    </row>
    <row r="366" customFormat="false" ht="15.75" hidden="false" customHeight="false" outlineLevel="0" collapsed="false">
      <c r="D366" s="19"/>
      <c r="E366" s="19"/>
    </row>
    <row r="367" customFormat="false" ht="15.75" hidden="false" customHeight="false" outlineLevel="0" collapsed="false">
      <c r="D367" s="19"/>
      <c r="E367" s="19"/>
    </row>
    <row r="368" customFormat="false" ht="15.75" hidden="false" customHeight="false" outlineLevel="0" collapsed="false">
      <c r="D368" s="19"/>
      <c r="E368" s="19"/>
    </row>
    <row r="369" customFormat="false" ht="15.75" hidden="false" customHeight="false" outlineLevel="0" collapsed="false">
      <c r="D369" s="19"/>
      <c r="E369" s="19"/>
    </row>
    <row r="370" customFormat="false" ht="15.75" hidden="false" customHeight="false" outlineLevel="0" collapsed="false">
      <c r="D370" s="19"/>
      <c r="E370" s="19"/>
    </row>
    <row r="371" customFormat="false" ht="15.75" hidden="false" customHeight="false" outlineLevel="0" collapsed="false">
      <c r="D371" s="19"/>
      <c r="E371" s="19"/>
    </row>
    <row r="372" customFormat="false" ht="15.75" hidden="false" customHeight="false" outlineLevel="0" collapsed="false">
      <c r="D372" s="19"/>
      <c r="E372" s="19"/>
    </row>
    <row r="373" customFormat="false" ht="15.75" hidden="false" customHeight="false" outlineLevel="0" collapsed="false">
      <c r="D373" s="19"/>
      <c r="E373" s="19"/>
    </row>
    <row r="374" customFormat="false" ht="15.75" hidden="false" customHeight="false" outlineLevel="0" collapsed="false">
      <c r="D374" s="19"/>
      <c r="E374" s="19"/>
    </row>
    <row r="375" customFormat="false" ht="15.75" hidden="false" customHeight="false" outlineLevel="0" collapsed="false">
      <c r="D375" s="19"/>
      <c r="E375" s="19"/>
    </row>
    <row r="376" customFormat="false" ht="15.75" hidden="false" customHeight="false" outlineLevel="0" collapsed="false">
      <c r="D376" s="19"/>
      <c r="E376" s="19"/>
    </row>
    <row r="377" customFormat="false" ht="15.75" hidden="false" customHeight="false" outlineLevel="0" collapsed="false">
      <c r="D377" s="19"/>
      <c r="E377" s="19"/>
    </row>
    <row r="378" customFormat="false" ht="15.75" hidden="false" customHeight="false" outlineLevel="0" collapsed="false">
      <c r="D378" s="19"/>
      <c r="E378" s="19"/>
    </row>
    <row r="379" customFormat="false" ht="15.75" hidden="false" customHeight="false" outlineLevel="0" collapsed="false">
      <c r="D379" s="19"/>
      <c r="E379" s="19"/>
    </row>
    <row r="380" customFormat="false" ht="15.75" hidden="false" customHeight="false" outlineLevel="0" collapsed="false">
      <c r="D380" s="19"/>
      <c r="E380" s="19"/>
    </row>
    <row r="381" customFormat="false" ht="15.75" hidden="false" customHeight="false" outlineLevel="0" collapsed="false">
      <c r="D381" s="19"/>
      <c r="E381" s="19"/>
    </row>
    <row r="382" customFormat="false" ht="15.75" hidden="false" customHeight="false" outlineLevel="0" collapsed="false">
      <c r="D382" s="19"/>
      <c r="E382" s="19"/>
    </row>
    <row r="383" customFormat="false" ht="15.75" hidden="false" customHeight="false" outlineLevel="0" collapsed="false">
      <c r="D383" s="19"/>
      <c r="E383" s="19"/>
    </row>
    <row r="384" customFormat="false" ht="15.75" hidden="false" customHeight="false" outlineLevel="0" collapsed="false">
      <c r="D384" s="19"/>
      <c r="E384" s="19"/>
    </row>
    <row r="385" customFormat="false" ht="15.75" hidden="false" customHeight="false" outlineLevel="0" collapsed="false">
      <c r="D385" s="19"/>
      <c r="E385" s="19"/>
    </row>
    <row r="386" customFormat="false" ht="15.75" hidden="false" customHeight="false" outlineLevel="0" collapsed="false">
      <c r="D386" s="19"/>
      <c r="E386" s="19"/>
    </row>
    <row r="387" customFormat="false" ht="15.75" hidden="false" customHeight="false" outlineLevel="0" collapsed="false">
      <c r="D387" s="19"/>
      <c r="E387" s="19"/>
    </row>
    <row r="388" customFormat="false" ht="15.75" hidden="false" customHeight="false" outlineLevel="0" collapsed="false">
      <c r="D388" s="19"/>
      <c r="E388" s="19"/>
    </row>
    <row r="389" customFormat="false" ht="15.75" hidden="false" customHeight="false" outlineLevel="0" collapsed="false">
      <c r="D389" s="19"/>
      <c r="E389" s="19"/>
    </row>
    <row r="390" customFormat="false" ht="15.75" hidden="false" customHeight="false" outlineLevel="0" collapsed="false">
      <c r="D390" s="19"/>
      <c r="E390" s="19"/>
    </row>
    <row r="391" customFormat="false" ht="15.75" hidden="false" customHeight="false" outlineLevel="0" collapsed="false">
      <c r="D391" s="19"/>
      <c r="E391" s="19"/>
    </row>
    <row r="392" customFormat="false" ht="15.75" hidden="false" customHeight="false" outlineLevel="0" collapsed="false">
      <c r="D392" s="19"/>
      <c r="E392" s="19"/>
    </row>
    <row r="393" customFormat="false" ht="15.75" hidden="false" customHeight="false" outlineLevel="0" collapsed="false">
      <c r="D393" s="19"/>
      <c r="E393" s="19"/>
    </row>
    <row r="394" customFormat="false" ht="15.75" hidden="false" customHeight="false" outlineLevel="0" collapsed="false">
      <c r="D394" s="19"/>
      <c r="E394" s="19"/>
    </row>
    <row r="395" customFormat="false" ht="15.75" hidden="false" customHeight="false" outlineLevel="0" collapsed="false">
      <c r="D395" s="19"/>
      <c r="E395" s="19"/>
    </row>
    <row r="396" customFormat="false" ht="15.75" hidden="false" customHeight="false" outlineLevel="0" collapsed="false">
      <c r="D396" s="19"/>
      <c r="E396" s="19"/>
    </row>
    <row r="397" customFormat="false" ht="15.75" hidden="false" customHeight="false" outlineLevel="0" collapsed="false">
      <c r="D397" s="19"/>
      <c r="E397" s="19"/>
    </row>
    <row r="398" customFormat="false" ht="15.75" hidden="false" customHeight="false" outlineLevel="0" collapsed="false">
      <c r="D398" s="19"/>
      <c r="E398" s="19"/>
    </row>
    <row r="399" customFormat="false" ht="15.75" hidden="false" customHeight="false" outlineLevel="0" collapsed="false">
      <c r="D399" s="19"/>
      <c r="E399" s="19"/>
    </row>
    <row r="400" customFormat="false" ht="15.75" hidden="false" customHeight="false" outlineLevel="0" collapsed="false">
      <c r="D400" s="19"/>
      <c r="E400" s="19"/>
    </row>
    <row r="401" customFormat="false" ht="15.75" hidden="false" customHeight="false" outlineLevel="0" collapsed="false">
      <c r="D401" s="19"/>
      <c r="E401" s="19"/>
    </row>
    <row r="402" customFormat="false" ht="15.75" hidden="false" customHeight="false" outlineLevel="0" collapsed="false">
      <c r="D402" s="19"/>
      <c r="E402" s="19"/>
    </row>
    <row r="403" customFormat="false" ht="15.75" hidden="false" customHeight="false" outlineLevel="0" collapsed="false">
      <c r="D403" s="19"/>
      <c r="E403" s="19"/>
    </row>
    <row r="404" customFormat="false" ht="15.75" hidden="false" customHeight="false" outlineLevel="0" collapsed="false">
      <c r="D404" s="19"/>
      <c r="E404" s="19"/>
    </row>
    <row r="405" customFormat="false" ht="15.75" hidden="false" customHeight="false" outlineLevel="0" collapsed="false">
      <c r="D405" s="19"/>
      <c r="E405" s="19"/>
    </row>
    <row r="406" customFormat="false" ht="15.75" hidden="false" customHeight="false" outlineLevel="0" collapsed="false">
      <c r="D406" s="19"/>
      <c r="E406" s="19"/>
    </row>
    <row r="407" customFormat="false" ht="15.75" hidden="false" customHeight="false" outlineLevel="0" collapsed="false">
      <c r="D407" s="19"/>
      <c r="E407" s="19"/>
    </row>
    <row r="408" customFormat="false" ht="15.75" hidden="false" customHeight="false" outlineLevel="0" collapsed="false">
      <c r="D408" s="19"/>
      <c r="E408" s="19"/>
    </row>
    <row r="409" customFormat="false" ht="15.75" hidden="false" customHeight="false" outlineLevel="0" collapsed="false">
      <c r="D409" s="19"/>
      <c r="E409" s="19"/>
    </row>
    <row r="410" customFormat="false" ht="15.75" hidden="false" customHeight="false" outlineLevel="0" collapsed="false">
      <c r="D410" s="19"/>
      <c r="E410" s="19"/>
    </row>
    <row r="411" customFormat="false" ht="15.75" hidden="false" customHeight="false" outlineLevel="0" collapsed="false">
      <c r="D411" s="19"/>
      <c r="E411" s="19"/>
    </row>
    <row r="412" customFormat="false" ht="15.75" hidden="false" customHeight="false" outlineLevel="0" collapsed="false">
      <c r="D412" s="19"/>
      <c r="E412" s="19"/>
    </row>
    <row r="413" customFormat="false" ht="15.75" hidden="false" customHeight="false" outlineLevel="0" collapsed="false">
      <c r="D413" s="19"/>
      <c r="E413" s="19"/>
    </row>
    <row r="414" customFormat="false" ht="15.75" hidden="false" customHeight="false" outlineLevel="0" collapsed="false">
      <c r="D414" s="19"/>
      <c r="E414" s="19"/>
    </row>
    <row r="415" customFormat="false" ht="15.75" hidden="false" customHeight="false" outlineLevel="0" collapsed="false">
      <c r="D415" s="19"/>
      <c r="E415" s="19"/>
    </row>
    <row r="416" customFormat="false" ht="15.75" hidden="false" customHeight="false" outlineLevel="0" collapsed="false">
      <c r="D416" s="19"/>
      <c r="E416" s="19"/>
    </row>
    <row r="417" customFormat="false" ht="15.75" hidden="false" customHeight="false" outlineLevel="0" collapsed="false">
      <c r="D417" s="19"/>
      <c r="E417" s="19"/>
    </row>
    <row r="418" customFormat="false" ht="15.75" hidden="false" customHeight="false" outlineLevel="0" collapsed="false">
      <c r="D418" s="19"/>
      <c r="E418" s="19"/>
    </row>
    <row r="419" customFormat="false" ht="15.75" hidden="false" customHeight="false" outlineLevel="0" collapsed="false">
      <c r="D419" s="19"/>
      <c r="E419" s="19"/>
    </row>
    <row r="420" customFormat="false" ht="15.75" hidden="false" customHeight="false" outlineLevel="0" collapsed="false">
      <c r="D420" s="19"/>
      <c r="E420" s="19"/>
    </row>
    <row r="421" customFormat="false" ht="15.75" hidden="false" customHeight="false" outlineLevel="0" collapsed="false">
      <c r="D421" s="19"/>
      <c r="E421" s="19"/>
    </row>
    <row r="422" customFormat="false" ht="15.75" hidden="false" customHeight="false" outlineLevel="0" collapsed="false">
      <c r="D422" s="19"/>
      <c r="E422" s="19"/>
    </row>
    <row r="423" customFormat="false" ht="15.75" hidden="false" customHeight="false" outlineLevel="0" collapsed="false">
      <c r="D423" s="19"/>
      <c r="E423" s="19"/>
    </row>
    <row r="424" customFormat="false" ht="15.75" hidden="false" customHeight="false" outlineLevel="0" collapsed="false">
      <c r="D424" s="19"/>
      <c r="E424" s="19"/>
    </row>
    <row r="425" customFormat="false" ht="15.75" hidden="false" customHeight="false" outlineLevel="0" collapsed="false">
      <c r="D425" s="19"/>
      <c r="E425" s="19"/>
    </row>
    <row r="426" customFormat="false" ht="15.75" hidden="false" customHeight="false" outlineLevel="0" collapsed="false">
      <c r="D426" s="19"/>
      <c r="E426" s="19"/>
    </row>
    <row r="427" customFormat="false" ht="15.75" hidden="false" customHeight="false" outlineLevel="0" collapsed="false">
      <c r="D427" s="19"/>
      <c r="E427" s="19"/>
    </row>
    <row r="428" customFormat="false" ht="15.75" hidden="false" customHeight="false" outlineLevel="0" collapsed="false">
      <c r="D428" s="19"/>
      <c r="E428" s="19"/>
    </row>
    <row r="429" customFormat="false" ht="15.75" hidden="false" customHeight="false" outlineLevel="0" collapsed="false">
      <c r="D429" s="19"/>
      <c r="E429" s="19"/>
    </row>
    <row r="430" customFormat="false" ht="15.75" hidden="false" customHeight="false" outlineLevel="0" collapsed="false">
      <c r="D430" s="19"/>
      <c r="E430" s="19"/>
    </row>
    <row r="431" customFormat="false" ht="15.75" hidden="false" customHeight="false" outlineLevel="0" collapsed="false">
      <c r="D431" s="19"/>
      <c r="E431" s="19"/>
    </row>
    <row r="432" customFormat="false" ht="15.75" hidden="false" customHeight="false" outlineLevel="0" collapsed="false">
      <c r="D432" s="19"/>
      <c r="E432" s="19"/>
    </row>
    <row r="433" customFormat="false" ht="15.75" hidden="false" customHeight="false" outlineLevel="0" collapsed="false">
      <c r="D433" s="19"/>
      <c r="E433" s="19"/>
    </row>
    <row r="434" customFormat="false" ht="15.75" hidden="false" customHeight="false" outlineLevel="0" collapsed="false">
      <c r="D434" s="19"/>
      <c r="E434" s="19"/>
    </row>
    <row r="435" customFormat="false" ht="15.75" hidden="false" customHeight="false" outlineLevel="0" collapsed="false">
      <c r="D435" s="19"/>
      <c r="E435" s="19"/>
    </row>
    <row r="436" customFormat="false" ht="15.75" hidden="false" customHeight="false" outlineLevel="0" collapsed="false">
      <c r="D436" s="19"/>
      <c r="E436" s="19"/>
    </row>
    <row r="437" customFormat="false" ht="15.75" hidden="false" customHeight="false" outlineLevel="0" collapsed="false">
      <c r="D437" s="19"/>
      <c r="E437" s="19"/>
    </row>
    <row r="438" customFormat="false" ht="15.75" hidden="false" customHeight="false" outlineLevel="0" collapsed="false">
      <c r="D438" s="19"/>
      <c r="E438" s="19"/>
    </row>
    <row r="439" customFormat="false" ht="15.75" hidden="false" customHeight="false" outlineLevel="0" collapsed="false">
      <c r="D439" s="19"/>
      <c r="E439" s="19"/>
    </row>
    <row r="440" customFormat="false" ht="15.75" hidden="false" customHeight="false" outlineLevel="0" collapsed="false">
      <c r="D440" s="19"/>
      <c r="E440" s="19"/>
    </row>
    <row r="441" customFormat="false" ht="15.75" hidden="false" customHeight="false" outlineLevel="0" collapsed="false">
      <c r="D441" s="19"/>
      <c r="E441" s="19"/>
    </row>
    <row r="442" customFormat="false" ht="15.75" hidden="false" customHeight="false" outlineLevel="0" collapsed="false">
      <c r="D442" s="19"/>
      <c r="E442" s="19"/>
    </row>
    <row r="443" customFormat="false" ht="15.75" hidden="false" customHeight="false" outlineLevel="0" collapsed="false">
      <c r="D443" s="19"/>
      <c r="E443" s="19"/>
    </row>
    <row r="444" customFormat="false" ht="15.75" hidden="false" customHeight="false" outlineLevel="0" collapsed="false">
      <c r="D444" s="19"/>
      <c r="E444" s="19"/>
    </row>
    <row r="445" customFormat="false" ht="15.75" hidden="false" customHeight="false" outlineLevel="0" collapsed="false">
      <c r="D445" s="19"/>
      <c r="E445" s="19"/>
    </row>
    <row r="446" customFormat="false" ht="15.75" hidden="false" customHeight="false" outlineLevel="0" collapsed="false">
      <c r="D446" s="19"/>
      <c r="E446" s="19"/>
    </row>
    <row r="447" customFormat="false" ht="15.75" hidden="false" customHeight="false" outlineLevel="0" collapsed="false">
      <c r="D447" s="19"/>
      <c r="E447" s="19"/>
    </row>
    <row r="448" customFormat="false" ht="15.75" hidden="false" customHeight="false" outlineLevel="0" collapsed="false">
      <c r="D448" s="19"/>
      <c r="E448" s="19"/>
    </row>
    <row r="449" customFormat="false" ht="15.75" hidden="false" customHeight="false" outlineLevel="0" collapsed="false">
      <c r="D449" s="19"/>
      <c r="E449" s="19"/>
    </row>
    <row r="450" customFormat="false" ht="15.75" hidden="false" customHeight="false" outlineLevel="0" collapsed="false">
      <c r="D450" s="19"/>
      <c r="E450" s="19"/>
    </row>
    <row r="451" customFormat="false" ht="15.75" hidden="false" customHeight="false" outlineLevel="0" collapsed="false">
      <c r="D451" s="19"/>
      <c r="E451" s="19"/>
    </row>
    <row r="452" customFormat="false" ht="15.75" hidden="false" customHeight="false" outlineLevel="0" collapsed="false">
      <c r="D452" s="19"/>
      <c r="E452" s="19"/>
    </row>
    <row r="453" customFormat="false" ht="15.75" hidden="false" customHeight="false" outlineLevel="0" collapsed="false">
      <c r="D453" s="19"/>
      <c r="E453" s="19"/>
    </row>
    <row r="454" customFormat="false" ht="15.75" hidden="false" customHeight="false" outlineLevel="0" collapsed="false">
      <c r="D454" s="19"/>
      <c r="E454" s="19"/>
    </row>
    <row r="455" customFormat="false" ht="15.75" hidden="false" customHeight="false" outlineLevel="0" collapsed="false">
      <c r="D455" s="19"/>
      <c r="E455" s="19"/>
    </row>
    <row r="456" customFormat="false" ht="15.75" hidden="false" customHeight="false" outlineLevel="0" collapsed="false">
      <c r="D456" s="19"/>
      <c r="E456" s="19"/>
    </row>
    <row r="457" customFormat="false" ht="15.75" hidden="false" customHeight="false" outlineLevel="0" collapsed="false">
      <c r="D457" s="19"/>
      <c r="E457" s="19"/>
    </row>
    <row r="458" customFormat="false" ht="15.75" hidden="false" customHeight="false" outlineLevel="0" collapsed="false">
      <c r="D458" s="19"/>
      <c r="E458" s="19"/>
    </row>
    <row r="459" customFormat="false" ht="15.75" hidden="false" customHeight="false" outlineLevel="0" collapsed="false">
      <c r="D459" s="19"/>
      <c r="E459" s="19"/>
    </row>
    <row r="460" customFormat="false" ht="15.75" hidden="false" customHeight="false" outlineLevel="0" collapsed="false">
      <c r="D460" s="19"/>
      <c r="E460" s="19"/>
    </row>
    <row r="461" customFormat="false" ht="15.75" hidden="false" customHeight="false" outlineLevel="0" collapsed="false">
      <c r="D461" s="19"/>
      <c r="E461" s="19"/>
    </row>
    <row r="462" customFormat="false" ht="15.75" hidden="false" customHeight="false" outlineLevel="0" collapsed="false">
      <c r="D462" s="19"/>
      <c r="E462" s="19"/>
    </row>
    <row r="463" customFormat="false" ht="15.75" hidden="false" customHeight="false" outlineLevel="0" collapsed="false">
      <c r="D463" s="19"/>
      <c r="E463" s="19"/>
    </row>
    <row r="464" customFormat="false" ht="15.75" hidden="false" customHeight="false" outlineLevel="0" collapsed="false">
      <c r="D464" s="19"/>
      <c r="E464" s="19"/>
    </row>
    <row r="465" customFormat="false" ht="15.75" hidden="false" customHeight="false" outlineLevel="0" collapsed="false">
      <c r="D465" s="19"/>
      <c r="E465" s="19"/>
    </row>
    <row r="466" customFormat="false" ht="15.75" hidden="false" customHeight="false" outlineLevel="0" collapsed="false">
      <c r="D466" s="19"/>
      <c r="E466" s="19"/>
    </row>
    <row r="467" customFormat="false" ht="15.75" hidden="false" customHeight="false" outlineLevel="0" collapsed="false">
      <c r="D467" s="19"/>
      <c r="E467" s="19"/>
    </row>
    <row r="468" customFormat="false" ht="15.75" hidden="false" customHeight="false" outlineLevel="0" collapsed="false">
      <c r="D468" s="19"/>
      <c r="E468" s="19"/>
    </row>
    <row r="469" customFormat="false" ht="15.75" hidden="false" customHeight="false" outlineLevel="0" collapsed="false">
      <c r="D469" s="19"/>
      <c r="E469" s="19"/>
    </row>
    <row r="470" customFormat="false" ht="15.75" hidden="false" customHeight="false" outlineLevel="0" collapsed="false">
      <c r="D470" s="19"/>
      <c r="E470" s="19"/>
    </row>
    <row r="471" customFormat="false" ht="15.75" hidden="false" customHeight="false" outlineLevel="0" collapsed="false">
      <c r="D471" s="19"/>
      <c r="E471" s="19"/>
    </row>
    <row r="472" customFormat="false" ht="15.75" hidden="false" customHeight="false" outlineLevel="0" collapsed="false">
      <c r="D472" s="19"/>
      <c r="E472" s="19"/>
    </row>
    <row r="473" customFormat="false" ht="15.75" hidden="false" customHeight="false" outlineLevel="0" collapsed="false">
      <c r="D473" s="19"/>
      <c r="E473" s="19"/>
    </row>
    <row r="474" customFormat="false" ht="15.75" hidden="false" customHeight="false" outlineLevel="0" collapsed="false">
      <c r="D474" s="19"/>
      <c r="E474" s="19"/>
    </row>
    <row r="475" customFormat="false" ht="15.75" hidden="false" customHeight="false" outlineLevel="0" collapsed="false">
      <c r="D475" s="19"/>
      <c r="E475" s="19"/>
    </row>
    <row r="476" customFormat="false" ht="15.75" hidden="false" customHeight="false" outlineLevel="0" collapsed="false">
      <c r="D476" s="19"/>
      <c r="E476" s="19"/>
    </row>
    <row r="477" customFormat="false" ht="15.75" hidden="false" customHeight="false" outlineLevel="0" collapsed="false">
      <c r="D477" s="19"/>
      <c r="E477" s="19"/>
    </row>
    <row r="478" customFormat="false" ht="15.75" hidden="false" customHeight="false" outlineLevel="0" collapsed="false">
      <c r="D478" s="19"/>
      <c r="E478" s="19"/>
    </row>
    <row r="479" customFormat="false" ht="15.75" hidden="false" customHeight="false" outlineLevel="0" collapsed="false">
      <c r="D479" s="19"/>
      <c r="E479" s="19"/>
    </row>
    <row r="480" customFormat="false" ht="15.75" hidden="false" customHeight="false" outlineLevel="0" collapsed="false">
      <c r="D480" s="19"/>
      <c r="E480" s="19"/>
    </row>
    <row r="481" customFormat="false" ht="15.75" hidden="false" customHeight="false" outlineLevel="0" collapsed="false">
      <c r="D481" s="19"/>
      <c r="E481" s="19"/>
    </row>
    <row r="482" customFormat="false" ht="15.75" hidden="false" customHeight="false" outlineLevel="0" collapsed="false">
      <c r="D482" s="19"/>
      <c r="E482" s="19"/>
    </row>
    <row r="483" customFormat="false" ht="15.75" hidden="false" customHeight="false" outlineLevel="0" collapsed="false">
      <c r="D483" s="19"/>
      <c r="E483" s="19"/>
    </row>
    <row r="484" customFormat="false" ht="15.75" hidden="false" customHeight="false" outlineLevel="0" collapsed="false">
      <c r="D484" s="19"/>
      <c r="E484" s="19"/>
    </row>
    <row r="485" customFormat="false" ht="15.75" hidden="false" customHeight="false" outlineLevel="0" collapsed="false">
      <c r="D485" s="19"/>
      <c r="E485" s="19"/>
    </row>
    <row r="486" customFormat="false" ht="15.75" hidden="false" customHeight="false" outlineLevel="0" collapsed="false">
      <c r="D486" s="19"/>
      <c r="E486" s="19"/>
    </row>
    <row r="487" customFormat="false" ht="15.75" hidden="false" customHeight="false" outlineLevel="0" collapsed="false">
      <c r="D487" s="19"/>
      <c r="E487" s="19"/>
    </row>
    <row r="488" customFormat="false" ht="15.75" hidden="false" customHeight="false" outlineLevel="0" collapsed="false">
      <c r="D488" s="19"/>
      <c r="E488" s="19"/>
    </row>
    <row r="489" customFormat="false" ht="15.75" hidden="false" customHeight="false" outlineLevel="0" collapsed="false">
      <c r="D489" s="19"/>
      <c r="E489" s="19"/>
    </row>
    <row r="490" customFormat="false" ht="15.75" hidden="false" customHeight="false" outlineLevel="0" collapsed="false">
      <c r="D490" s="19"/>
      <c r="E490" s="19"/>
    </row>
    <row r="491" customFormat="false" ht="15.75" hidden="false" customHeight="false" outlineLevel="0" collapsed="false">
      <c r="D491" s="19"/>
      <c r="E491" s="19"/>
    </row>
    <row r="492" customFormat="false" ht="15.75" hidden="false" customHeight="false" outlineLevel="0" collapsed="false">
      <c r="D492" s="19"/>
      <c r="E492" s="19"/>
    </row>
    <row r="493" customFormat="false" ht="15.75" hidden="false" customHeight="false" outlineLevel="0" collapsed="false">
      <c r="D493" s="19"/>
      <c r="E493" s="19"/>
    </row>
    <row r="494" customFormat="false" ht="15.75" hidden="false" customHeight="false" outlineLevel="0" collapsed="false">
      <c r="D494" s="19"/>
      <c r="E494" s="19"/>
    </row>
    <row r="495" customFormat="false" ht="15.75" hidden="false" customHeight="false" outlineLevel="0" collapsed="false">
      <c r="D495" s="19"/>
      <c r="E495" s="19"/>
    </row>
    <row r="496" customFormat="false" ht="15.75" hidden="false" customHeight="false" outlineLevel="0" collapsed="false">
      <c r="D496" s="19"/>
      <c r="E496" s="19"/>
    </row>
    <row r="497" customFormat="false" ht="15.75" hidden="false" customHeight="false" outlineLevel="0" collapsed="false">
      <c r="D497" s="19"/>
      <c r="E497" s="19"/>
    </row>
    <row r="498" customFormat="false" ht="15.75" hidden="false" customHeight="false" outlineLevel="0" collapsed="false">
      <c r="D498" s="19"/>
      <c r="E498" s="19"/>
    </row>
    <row r="499" customFormat="false" ht="15.75" hidden="false" customHeight="false" outlineLevel="0" collapsed="false">
      <c r="D499" s="19"/>
      <c r="E499" s="19"/>
    </row>
    <row r="500" customFormat="false" ht="15.75" hidden="false" customHeight="false" outlineLevel="0" collapsed="false">
      <c r="D500" s="19"/>
      <c r="E500" s="19"/>
    </row>
    <row r="501" customFormat="false" ht="15.75" hidden="false" customHeight="false" outlineLevel="0" collapsed="false">
      <c r="D501" s="19"/>
      <c r="E501" s="19"/>
    </row>
    <row r="502" customFormat="false" ht="15.75" hidden="false" customHeight="false" outlineLevel="0" collapsed="false">
      <c r="D502" s="19"/>
      <c r="E502" s="19"/>
    </row>
    <row r="503" customFormat="false" ht="15.75" hidden="false" customHeight="false" outlineLevel="0" collapsed="false">
      <c r="D503" s="19"/>
      <c r="E503" s="19"/>
    </row>
    <row r="504" customFormat="false" ht="15.75" hidden="false" customHeight="false" outlineLevel="0" collapsed="false">
      <c r="D504" s="19"/>
      <c r="E504" s="19"/>
    </row>
    <row r="505" customFormat="false" ht="15.75" hidden="false" customHeight="false" outlineLevel="0" collapsed="false">
      <c r="D505" s="19"/>
      <c r="E505" s="19"/>
    </row>
    <row r="506" customFormat="false" ht="15.75" hidden="false" customHeight="false" outlineLevel="0" collapsed="false">
      <c r="D506" s="19"/>
      <c r="E506" s="19"/>
    </row>
    <row r="507" customFormat="false" ht="15.75" hidden="false" customHeight="false" outlineLevel="0" collapsed="false">
      <c r="D507" s="19"/>
      <c r="E507" s="19"/>
    </row>
    <row r="508" customFormat="false" ht="15.75" hidden="false" customHeight="false" outlineLevel="0" collapsed="false">
      <c r="D508" s="19"/>
      <c r="E508" s="19"/>
    </row>
    <row r="509" customFormat="false" ht="15.75" hidden="false" customHeight="false" outlineLevel="0" collapsed="false">
      <c r="D509" s="19"/>
      <c r="E509" s="19"/>
    </row>
    <row r="510" customFormat="false" ht="15.75" hidden="false" customHeight="false" outlineLevel="0" collapsed="false">
      <c r="D510" s="19"/>
      <c r="E510" s="19"/>
    </row>
    <row r="511" customFormat="false" ht="15.75" hidden="false" customHeight="false" outlineLevel="0" collapsed="false">
      <c r="D511" s="19"/>
      <c r="E511" s="19"/>
    </row>
    <row r="512" customFormat="false" ht="15.75" hidden="false" customHeight="false" outlineLevel="0" collapsed="false">
      <c r="D512" s="19"/>
      <c r="E512" s="19"/>
    </row>
    <row r="513" customFormat="false" ht="15.75" hidden="false" customHeight="false" outlineLevel="0" collapsed="false">
      <c r="D513" s="19"/>
      <c r="E513" s="19"/>
    </row>
    <row r="514" customFormat="false" ht="15.75" hidden="false" customHeight="false" outlineLevel="0" collapsed="false">
      <c r="D514" s="19"/>
      <c r="E514" s="19"/>
    </row>
    <row r="515" customFormat="false" ht="15.75" hidden="false" customHeight="false" outlineLevel="0" collapsed="false">
      <c r="D515" s="19"/>
      <c r="E515" s="19"/>
    </row>
    <row r="516" customFormat="false" ht="15.75" hidden="false" customHeight="false" outlineLevel="0" collapsed="false">
      <c r="D516" s="19"/>
      <c r="E516" s="19"/>
    </row>
    <row r="517" customFormat="false" ht="15.75" hidden="false" customHeight="false" outlineLevel="0" collapsed="false">
      <c r="D517" s="19"/>
      <c r="E517" s="19"/>
    </row>
    <row r="518" customFormat="false" ht="15.75" hidden="false" customHeight="false" outlineLevel="0" collapsed="false">
      <c r="D518" s="19"/>
      <c r="E518" s="19"/>
    </row>
    <row r="519" customFormat="false" ht="15.75" hidden="false" customHeight="false" outlineLevel="0" collapsed="false">
      <c r="D519" s="19"/>
      <c r="E519" s="19"/>
    </row>
    <row r="520" customFormat="false" ht="15.75" hidden="false" customHeight="false" outlineLevel="0" collapsed="false">
      <c r="D520" s="19"/>
      <c r="E520" s="19"/>
    </row>
    <row r="521" customFormat="false" ht="15.75" hidden="false" customHeight="false" outlineLevel="0" collapsed="false">
      <c r="D521" s="19"/>
      <c r="E521" s="19"/>
    </row>
    <row r="522" customFormat="false" ht="15.75" hidden="false" customHeight="false" outlineLevel="0" collapsed="false">
      <c r="D522" s="19"/>
      <c r="E522" s="19"/>
    </row>
    <row r="523" customFormat="false" ht="15.75" hidden="false" customHeight="false" outlineLevel="0" collapsed="false">
      <c r="D523" s="19"/>
      <c r="E523" s="19"/>
    </row>
    <row r="524" customFormat="false" ht="15.75" hidden="false" customHeight="false" outlineLevel="0" collapsed="false">
      <c r="D524" s="19"/>
      <c r="E524" s="19"/>
    </row>
    <row r="525" customFormat="false" ht="15.75" hidden="false" customHeight="false" outlineLevel="0" collapsed="false">
      <c r="D525" s="19"/>
      <c r="E525" s="19"/>
    </row>
    <row r="526" customFormat="false" ht="15.75" hidden="false" customHeight="false" outlineLevel="0" collapsed="false">
      <c r="D526" s="19"/>
      <c r="E526" s="19"/>
    </row>
    <row r="527" customFormat="false" ht="15.75" hidden="false" customHeight="false" outlineLevel="0" collapsed="false">
      <c r="D527" s="19"/>
      <c r="E527" s="19"/>
    </row>
    <row r="528" customFormat="false" ht="15.75" hidden="false" customHeight="false" outlineLevel="0" collapsed="false">
      <c r="D528" s="19"/>
      <c r="E528" s="19"/>
    </row>
    <row r="529" customFormat="false" ht="15.75" hidden="false" customHeight="false" outlineLevel="0" collapsed="false">
      <c r="D529" s="19"/>
      <c r="E529" s="19"/>
    </row>
    <row r="530" customFormat="false" ht="15.75" hidden="false" customHeight="false" outlineLevel="0" collapsed="false">
      <c r="D530" s="19"/>
      <c r="E530" s="19"/>
    </row>
    <row r="531" customFormat="false" ht="15.75" hidden="false" customHeight="false" outlineLevel="0" collapsed="false">
      <c r="D531" s="19"/>
      <c r="E531" s="19"/>
    </row>
    <row r="532" customFormat="false" ht="15.75" hidden="false" customHeight="false" outlineLevel="0" collapsed="false">
      <c r="D532" s="19"/>
      <c r="E532" s="19"/>
    </row>
    <row r="533" customFormat="false" ht="15.75" hidden="false" customHeight="false" outlineLevel="0" collapsed="false">
      <c r="D533" s="19"/>
      <c r="E533" s="19"/>
    </row>
    <row r="534" customFormat="false" ht="15.75" hidden="false" customHeight="false" outlineLevel="0" collapsed="false">
      <c r="D534" s="19"/>
      <c r="E534" s="19"/>
    </row>
    <row r="535" customFormat="false" ht="15.75" hidden="false" customHeight="false" outlineLevel="0" collapsed="false">
      <c r="D535" s="19"/>
      <c r="E535" s="19"/>
    </row>
    <row r="536" customFormat="false" ht="15.75" hidden="false" customHeight="false" outlineLevel="0" collapsed="false">
      <c r="D536" s="19"/>
      <c r="E536" s="19"/>
    </row>
    <row r="537" customFormat="false" ht="15.75" hidden="false" customHeight="false" outlineLevel="0" collapsed="false">
      <c r="D537" s="19"/>
      <c r="E537" s="19"/>
    </row>
    <row r="538" customFormat="false" ht="15.75" hidden="false" customHeight="false" outlineLevel="0" collapsed="false">
      <c r="D538" s="19"/>
      <c r="E538" s="19"/>
    </row>
    <row r="539" customFormat="false" ht="15.75" hidden="false" customHeight="false" outlineLevel="0" collapsed="false">
      <c r="D539" s="19"/>
      <c r="E539" s="19"/>
    </row>
    <row r="540" customFormat="false" ht="15.75" hidden="false" customHeight="false" outlineLevel="0" collapsed="false">
      <c r="D540" s="19"/>
      <c r="E540" s="19"/>
    </row>
    <row r="541" customFormat="false" ht="15.75" hidden="false" customHeight="false" outlineLevel="0" collapsed="false">
      <c r="D541" s="19"/>
      <c r="E541" s="19"/>
    </row>
    <row r="542" customFormat="false" ht="15.75" hidden="false" customHeight="false" outlineLevel="0" collapsed="false">
      <c r="D542" s="19"/>
      <c r="E542" s="19"/>
    </row>
    <row r="543" customFormat="false" ht="15.75" hidden="false" customHeight="false" outlineLevel="0" collapsed="false">
      <c r="D543" s="19"/>
      <c r="E543" s="19"/>
    </row>
    <row r="544" customFormat="false" ht="15.75" hidden="false" customHeight="false" outlineLevel="0" collapsed="false">
      <c r="D544" s="19"/>
      <c r="E544" s="19"/>
    </row>
    <row r="545" customFormat="false" ht="15.75" hidden="false" customHeight="false" outlineLevel="0" collapsed="false">
      <c r="D545" s="19"/>
      <c r="E545" s="19"/>
    </row>
    <row r="546" customFormat="false" ht="15.75" hidden="false" customHeight="false" outlineLevel="0" collapsed="false">
      <c r="D546" s="19"/>
      <c r="E546" s="19"/>
    </row>
    <row r="547" customFormat="false" ht="15.75" hidden="false" customHeight="false" outlineLevel="0" collapsed="false">
      <c r="D547" s="19"/>
      <c r="E547" s="19"/>
    </row>
    <row r="548" customFormat="false" ht="15.75" hidden="false" customHeight="false" outlineLevel="0" collapsed="false">
      <c r="D548" s="19"/>
      <c r="E548" s="19"/>
    </row>
    <row r="549" customFormat="false" ht="15.75" hidden="false" customHeight="false" outlineLevel="0" collapsed="false">
      <c r="D549" s="19"/>
      <c r="E549" s="19"/>
    </row>
    <row r="550" customFormat="false" ht="15.75" hidden="false" customHeight="false" outlineLevel="0" collapsed="false">
      <c r="D550" s="19"/>
      <c r="E550" s="19"/>
    </row>
    <row r="551" customFormat="false" ht="15.75" hidden="false" customHeight="false" outlineLevel="0" collapsed="false">
      <c r="D551" s="19"/>
      <c r="E551" s="19"/>
    </row>
    <row r="552" customFormat="false" ht="15.75" hidden="false" customHeight="false" outlineLevel="0" collapsed="false">
      <c r="D552" s="19"/>
      <c r="E552" s="19"/>
    </row>
    <row r="553" customFormat="false" ht="15.75" hidden="false" customHeight="false" outlineLevel="0" collapsed="false">
      <c r="D553" s="19"/>
      <c r="E553" s="19"/>
    </row>
    <row r="554" customFormat="false" ht="15.75" hidden="false" customHeight="false" outlineLevel="0" collapsed="false">
      <c r="D554" s="19"/>
      <c r="E554" s="19"/>
    </row>
    <row r="555" customFormat="false" ht="15.75" hidden="false" customHeight="false" outlineLevel="0" collapsed="false">
      <c r="D555" s="19"/>
      <c r="E555" s="19"/>
    </row>
    <row r="556" customFormat="false" ht="15.75" hidden="false" customHeight="false" outlineLevel="0" collapsed="false">
      <c r="D556" s="19"/>
      <c r="E556" s="19"/>
    </row>
    <row r="557" customFormat="false" ht="15.75" hidden="false" customHeight="false" outlineLevel="0" collapsed="false">
      <c r="D557" s="19"/>
      <c r="E557" s="19"/>
    </row>
    <row r="558" customFormat="false" ht="15.75" hidden="false" customHeight="false" outlineLevel="0" collapsed="false">
      <c r="D558" s="19"/>
      <c r="E558" s="19"/>
    </row>
    <row r="559" customFormat="false" ht="15.75" hidden="false" customHeight="false" outlineLevel="0" collapsed="false">
      <c r="D559" s="19"/>
      <c r="E559" s="19"/>
    </row>
    <row r="560" customFormat="false" ht="15.75" hidden="false" customHeight="false" outlineLevel="0" collapsed="false">
      <c r="D560" s="19"/>
      <c r="E560" s="19"/>
    </row>
    <row r="561" customFormat="false" ht="15.75" hidden="false" customHeight="false" outlineLevel="0" collapsed="false">
      <c r="D561" s="19"/>
      <c r="E561" s="19"/>
    </row>
    <row r="562" customFormat="false" ht="15.75" hidden="false" customHeight="false" outlineLevel="0" collapsed="false">
      <c r="D562" s="19"/>
      <c r="E562" s="19"/>
    </row>
    <row r="563" customFormat="false" ht="15.75" hidden="false" customHeight="false" outlineLevel="0" collapsed="false">
      <c r="D563" s="19"/>
      <c r="E563" s="19"/>
    </row>
    <row r="564" customFormat="false" ht="15.75" hidden="false" customHeight="false" outlineLevel="0" collapsed="false">
      <c r="D564" s="19"/>
      <c r="E564" s="19"/>
    </row>
    <row r="565" customFormat="false" ht="15.75" hidden="false" customHeight="false" outlineLevel="0" collapsed="false">
      <c r="D565" s="19"/>
      <c r="E565" s="19"/>
    </row>
    <row r="566" customFormat="false" ht="15.75" hidden="false" customHeight="false" outlineLevel="0" collapsed="false">
      <c r="D566" s="19"/>
      <c r="E566" s="19"/>
    </row>
    <row r="567" customFormat="false" ht="15.75" hidden="false" customHeight="false" outlineLevel="0" collapsed="false">
      <c r="D567" s="19"/>
      <c r="E567" s="19"/>
    </row>
    <row r="568" customFormat="false" ht="15.75" hidden="false" customHeight="false" outlineLevel="0" collapsed="false">
      <c r="D568" s="19"/>
      <c r="E568" s="19"/>
    </row>
    <row r="569" customFormat="false" ht="15.75" hidden="false" customHeight="false" outlineLevel="0" collapsed="false">
      <c r="D569" s="19"/>
      <c r="E569" s="19"/>
    </row>
    <row r="570" customFormat="false" ht="15.75" hidden="false" customHeight="false" outlineLevel="0" collapsed="false">
      <c r="D570" s="19"/>
      <c r="E570" s="19"/>
    </row>
    <row r="571" customFormat="false" ht="15.75" hidden="false" customHeight="false" outlineLevel="0" collapsed="false">
      <c r="D571" s="19"/>
      <c r="E571" s="19"/>
    </row>
    <row r="572" customFormat="false" ht="15.75" hidden="false" customHeight="false" outlineLevel="0" collapsed="false">
      <c r="D572" s="19"/>
      <c r="E572" s="19"/>
    </row>
    <row r="573" customFormat="false" ht="15.75" hidden="false" customHeight="false" outlineLevel="0" collapsed="false">
      <c r="D573" s="19"/>
      <c r="E573" s="19"/>
    </row>
    <row r="574" customFormat="false" ht="15.75" hidden="false" customHeight="false" outlineLevel="0" collapsed="false">
      <c r="D574" s="19"/>
      <c r="E574" s="19"/>
    </row>
    <row r="575" customFormat="false" ht="15.75" hidden="false" customHeight="false" outlineLevel="0" collapsed="false">
      <c r="D575" s="19"/>
      <c r="E575" s="19"/>
    </row>
    <row r="576" customFormat="false" ht="15.75" hidden="false" customHeight="false" outlineLevel="0" collapsed="false">
      <c r="D576" s="19"/>
      <c r="E576" s="19"/>
    </row>
    <row r="577" customFormat="false" ht="15.75" hidden="false" customHeight="false" outlineLevel="0" collapsed="false">
      <c r="D577" s="19"/>
      <c r="E577" s="19"/>
    </row>
    <row r="578" customFormat="false" ht="15.75" hidden="false" customHeight="false" outlineLevel="0" collapsed="false">
      <c r="D578" s="19"/>
      <c r="E578" s="19"/>
    </row>
    <row r="579" customFormat="false" ht="15.75" hidden="false" customHeight="false" outlineLevel="0" collapsed="false">
      <c r="D579" s="19"/>
      <c r="E579" s="19"/>
    </row>
    <row r="580" customFormat="false" ht="15.75" hidden="false" customHeight="false" outlineLevel="0" collapsed="false">
      <c r="D580" s="19"/>
      <c r="E580" s="19"/>
    </row>
    <row r="581" customFormat="false" ht="15.75" hidden="false" customHeight="false" outlineLevel="0" collapsed="false">
      <c r="D581" s="19"/>
      <c r="E581" s="19"/>
    </row>
    <row r="582" customFormat="false" ht="15.75" hidden="false" customHeight="false" outlineLevel="0" collapsed="false">
      <c r="D582" s="19"/>
      <c r="E582" s="19"/>
    </row>
    <row r="583" customFormat="false" ht="15.75" hidden="false" customHeight="false" outlineLevel="0" collapsed="false">
      <c r="D583" s="19"/>
      <c r="E583" s="19"/>
    </row>
    <row r="584" customFormat="false" ht="15.75" hidden="false" customHeight="false" outlineLevel="0" collapsed="false">
      <c r="D584" s="19"/>
      <c r="E584" s="19"/>
    </row>
    <row r="585" customFormat="false" ht="15.75" hidden="false" customHeight="false" outlineLevel="0" collapsed="false">
      <c r="D585" s="19"/>
      <c r="E585" s="19"/>
    </row>
    <row r="586" customFormat="false" ht="15.75" hidden="false" customHeight="false" outlineLevel="0" collapsed="false">
      <c r="D586" s="19"/>
      <c r="E586" s="19"/>
    </row>
    <row r="587" customFormat="false" ht="15.75" hidden="false" customHeight="false" outlineLevel="0" collapsed="false">
      <c r="D587" s="19"/>
      <c r="E587" s="19"/>
    </row>
    <row r="588" customFormat="false" ht="15.75" hidden="false" customHeight="false" outlineLevel="0" collapsed="false">
      <c r="D588" s="19"/>
      <c r="E588" s="19"/>
    </row>
    <row r="589" customFormat="false" ht="15.75" hidden="false" customHeight="false" outlineLevel="0" collapsed="false">
      <c r="D589" s="19"/>
      <c r="E589" s="19"/>
    </row>
    <row r="590" customFormat="false" ht="15.75" hidden="false" customHeight="false" outlineLevel="0" collapsed="false">
      <c r="D590" s="19"/>
      <c r="E590" s="19"/>
    </row>
    <row r="591" customFormat="false" ht="15.75" hidden="false" customHeight="false" outlineLevel="0" collapsed="false">
      <c r="D591" s="19"/>
      <c r="E591" s="19"/>
    </row>
    <row r="592" customFormat="false" ht="15.75" hidden="false" customHeight="false" outlineLevel="0" collapsed="false">
      <c r="D592" s="19"/>
      <c r="E592" s="19"/>
    </row>
    <row r="593" customFormat="false" ht="15.75" hidden="false" customHeight="false" outlineLevel="0" collapsed="false">
      <c r="D593" s="19"/>
      <c r="E593" s="19"/>
    </row>
    <row r="594" customFormat="false" ht="15.75" hidden="false" customHeight="false" outlineLevel="0" collapsed="false">
      <c r="D594" s="19"/>
      <c r="E594" s="19"/>
    </row>
    <row r="595" customFormat="false" ht="15.75" hidden="false" customHeight="false" outlineLevel="0" collapsed="false">
      <c r="D595" s="19"/>
      <c r="E595" s="19"/>
    </row>
    <row r="596" customFormat="false" ht="15.75" hidden="false" customHeight="false" outlineLevel="0" collapsed="false">
      <c r="D596" s="19"/>
      <c r="E596" s="19"/>
    </row>
    <row r="597" customFormat="false" ht="15.75" hidden="false" customHeight="false" outlineLevel="0" collapsed="false">
      <c r="D597" s="19"/>
      <c r="E597" s="19"/>
    </row>
    <row r="598" customFormat="false" ht="15.75" hidden="false" customHeight="false" outlineLevel="0" collapsed="false">
      <c r="D598" s="19"/>
      <c r="E598" s="19"/>
    </row>
    <row r="599" customFormat="false" ht="15.75" hidden="false" customHeight="false" outlineLevel="0" collapsed="false">
      <c r="D599" s="19"/>
      <c r="E599" s="19"/>
    </row>
    <row r="600" customFormat="false" ht="15.75" hidden="false" customHeight="false" outlineLevel="0" collapsed="false">
      <c r="D600" s="19"/>
      <c r="E600" s="19"/>
    </row>
    <row r="601" customFormat="false" ht="15.75" hidden="false" customHeight="false" outlineLevel="0" collapsed="false">
      <c r="D601" s="19"/>
      <c r="E601" s="19"/>
    </row>
    <row r="602" customFormat="false" ht="15.75" hidden="false" customHeight="false" outlineLevel="0" collapsed="false">
      <c r="D602" s="19"/>
      <c r="E602" s="19"/>
    </row>
    <row r="603" customFormat="false" ht="15.75" hidden="false" customHeight="false" outlineLevel="0" collapsed="false">
      <c r="D603" s="19"/>
      <c r="E603" s="19"/>
    </row>
    <row r="604" customFormat="false" ht="15.75" hidden="false" customHeight="false" outlineLevel="0" collapsed="false">
      <c r="D604" s="19"/>
      <c r="E604" s="19"/>
    </row>
    <row r="605" customFormat="false" ht="15.75" hidden="false" customHeight="false" outlineLevel="0" collapsed="false">
      <c r="D605" s="19"/>
      <c r="E605" s="19"/>
    </row>
    <row r="606" customFormat="false" ht="15.75" hidden="false" customHeight="false" outlineLevel="0" collapsed="false">
      <c r="D606" s="19"/>
      <c r="E606" s="19"/>
    </row>
    <row r="607" customFormat="false" ht="15.75" hidden="false" customHeight="false" outlineLevel="0" collapsed="false">
      <c r="D607" s="19"/>
      <c r="E607" s="19"/>
    </row>
    <row r="608" customFormat="false" ht="15.75" hidden="false" customHeight="false" outlineLevel="0" collapsed="false">
      <c r="D608" s="19"/>
      <c r="E608" s="19"/>
    </row>
    <row r="609" customFormat="false" ht="15.75" hidden="false" customHeight="false" outlineLevel="0" collapsed="false">
      <c r="D609" s="19"/>
      <c r="E609" s="19"/>
    </row>
    <row r="610" customFormat="false" ht="15.75" hidden="false" customHeight="false" outlineLevel="0" collapsed="false">
      <c r="D610" s="19"/>
      <c r="E610" s="19"/>
    </row>
    <row r="611" customFormat="false" ht="15.75" hidden="false" customHeight="false" outlineLevel="0" collapsed="false">
      <c r="D611" s="19"/>
      <c r="E611" s="19"/>
    </row>
    <row r="612" customFormat="false" ht="15.75" hidden="false" customHeight="false" outlineLevel="0" collapsed="false">
      <c r="D612" s="19"/>
      <c r="E612" s="19"/>
    </row>
    <row r="613" customFormat="false" ht="15.75" hidden="false" customHeight="false" outlineLevel="0" collapsed="false">
      <c r="D613" s="19"/>
      <c r="E613" s="19"/>
    </row>
    <row r="614" customFormat="false" ht="15.75" hidden="false" customHeight="false" outlineLevel="0" collapsed="false">
      <c r="D614" s="19"/>
      <c r="E614" s="19"/>
    </row>
    <row r="615" customFormat="false" ht="15.75" hidden="false" customHeight="false" outlineLevel="0" collapsed="false">
      <c r="D615" s="19"/>
      <c r="E615" s="19"/>
    </row>
    <row r="616" customFormat="false" ht="15.75" hidden="false" customHeight="false" outlineLevel="0" collapsed="false">
      <c r="D616" s="19"/>
      <c r="E616" s="19"/>
    </row>
    <row r="617" customFormat="false" ht="15.75" hidden="false" customHeight="false" outlineLevel="0" collapsed="false">
      <c r="D617" s="19"/>
      <c r="E617" s="19"/>
    </row>
    <row r="618" customFormat="false" ht="15.75" hidden="false" customHeight="false" outlineLevel="0" collapsed="false">
      <c r="D618" s="19"/>
      <c r="E618" s="19"/>
    </row>
    <row r="619" customFormat="false" ht="15.75" hidden="false" customHeight="false" outlineLevel="0" collapsed="false">
      <c r="D619" s="19"/>
      <c r="E619" s="19"/>
    </row>
    <row r="620" customFormat="false" ht="15.75" hidden="false" customHeight="false" outlineLevel="0" collapsed="false">
      <c r="D620" s="19"/>
      <c r="E620" s="19"/>
    </row>
    <row r="621" customFormat="false" ht="15.75" hidden="false" customHeight="false" outlineLevel="0" collapsed="false">
      <c r="D621" s="19"/>
      <c r="E621" s="19"/>
    </row>
    <row r="622" customFormat="false" ht="15.75" hidden="false" customHeight="false" outlineLevel="0" collapsed="false">
      <c r="D622" s="19"/>
      <c r="E622" s="19"/>
    </row>
    <row r="623" customFormat="false" ht="15.75" hidden="false" customHeight="false" outlineLevel="0" collapsed="false">
      <c r="D623" s="19"/>
      <c r="E623" s="19"/>
    </row>
    <row r="624" customFormat="false" ht="15.75" hidden="false" customHeight="false" outlineLevel="0" collapsed="false">
      <c r="D624" s="19"/>
      <c r="E624" s="19"/>
    </row>
    <row r="625" customFormat="false" ht="15.75" hidden="false" customHeight="false" outlineLevel="0" collapsed="false">
      <c r="D625" s="19"/>
      <c r="E625" s="19"/>
    </row>
    <row r="626" customFormat="false" ht="15.75" hidden="false" customHeight="false" outlineLevel="0" collapsed="false">
      <c r="D626" s="19"/>
      <c r="E626" s="19"/>
    </row>
    <row r="627" customFormat="false" ht="15.75" hidden="false" customHeight="false" outlineLevel="0" collapsed="false">
      <c r="D627" s="19"/>
      <c r="E627" s="19"/>
    </row>
    <row r="628" customFormat="false" ht="15.75" hidden="false" customHeight="false" outlineLevel="0" collapsed="false">
      <c r="D628" s="19"/>
      <c r="E628" s="19"/>
    </row>
    <row r="629" customFormat="false" ht="15.75" hidden="false" customHeight="false" outlineLevel="0" collapsed="false">
      <c r="D629" s="19"/>
      <c r="E629" s="19"/>
    </row>
    <row r="630" customFormat="false" ht="15.75" hidden="false" customHeight="false" outlineLevel="0" collapsed="false">
      <c r="D630" s="19"/>
      <c r="E630" s="19"/>
    </row>
    <row r="631" customFormat="false" ht="15.75" hidden="false" customHeight="false" outlineLevel="0" collapsed="false">
      <c r="D631" s="19"/>
      <c r="E631" s="19"/>
    </row>
    <row r="632" customFormat="false" ht="15.75" hidden="false" customHeight="false" outlineLevel="0" collapsed="false">
      <c r="D632" s="19"/>
      <c r="E632" s="19"/>
    </row>
    <row r="633" customFormat="false" ht="15.75" hidden="false" customHeight="false" outlineLevel="0" collapsed="false">
      <c r="D633" s="19"/>
      <c r="E633" s="19"/>
    </row>
    <row r="634" customFormat="false" ht="15.75" hidden="false" customHeight="false" outlineLevel="0" collapsed="false">
      <c r="D634" s="19"/>
      <c r="E634" s="19"/>
    </row>
    <row r="635" customFormat="false" ht="15.75" hidden="false" customHeight="false" outlineLevel="0" collapsed="false">
      <c r="D635" s="19"/>
      <c r="E635" s="19"/>
    </row>
    <row r="636" customFormat="false" ht="15.75" hidden="false" customHeight="false" outlineLevel="0" collapsed="false">
      <c r="D636" s="19"/>
      <c r="E636" s="19"/>
    </row>
    <row r="637" customFormat="false" ht="15.75" hidden="false" customHeight="false" outlineLevel="0" collapsed="false">
      <c r="D637" s="19"/>
      <c r="E637" s="19"/>
    </row>
    <row r="638" customFormat="false" ht="15.75" hidden="false" customHeight="false" outlineLevel="0" collapsed="false">
      <c r="D638" s="19"/>
      <c r="E638" s="19"/>
    </row>
    <row r="639" customFormat="false" ht="15.75" hidden="false" customHeight="false" outlineLevel="0" collapsed="false">
      <c r="D639" s="19"/>
      <c r="E639" s="19"/>
    </row>
    <row r="640" customFormat="false" ht="15.75" hidden="false" customHeight="false" outlineLevel="0" collapsed="false">
      <c r="D640" s="19"/>
      <c r="E640" s="19"/>
    </row>
    <row r="641" customFormat="false" ht="15.75" hidden="false" customHeight="false" outlineLevel="0" collapsed="false">
      <c r="D641" s="19"/>
      <c r="E641" s="19"/>
    </row>
    <row r="642" customFormat="false" ht="15.75" hidden="false" customHeight="false" outlineLevel="0" collapsed="false">
      <c r="D642" s="19"/>
      <c r="E642" s="19"/>
    </row>
    <row r="643" customFormat="false" ht="15.75" hidden="false" customHeight="false" outlineLevel="0" collapsed="false">
      <c r="D643" s="19"/>
      <c r="E643" s="19"/>
    </row>
    <row r="644" customFormat="false" ht="15.75" hidden="false" customHeight="false" outlineLevel="0" collapsed="false">
      <c r="D644" s="19"/>
      <c r="E644" s="19"/>
    </row>
    <row r="645" customFormat="false" ht="15.75" hidden="false" customHeight="false" outlineLevel="0" collapsed="false">
      <c r="D645" s="19"/>
      <c r="E645" s="19"/>
    </row>
    <row r="646" customFormat="false" ht="15.75" hidden="false" customHeight="false" outlineLevel="0" collapsed="false">
      <c r="D646" s="19"/>
      <c r="E646" s="19"/>
    </row>
    <row r="647" customFormat="false" ht="15.75" hidden="false" customHeight="false" outlineLevel="0" collapsed="false">
      <c r="D647" s="19"/>
      <c r="E647" s="19"/>
    </row>
    <row r="648" customFormat="false" ht="15.75" hidden="false" customHeight="false" outlineLevel="0" collapsed="false">
      <c r="D648" s="19"/>
      <c r="E648" s="19"/>
    </row>
    <row r="649" customFormat="false" ht="15.75" hidden="false" customHeight="false" outlineLevel="0" collapsed="false">
      <c r="D649" s="19"/>
      <c r="E649" s="19"/>
    </row>
    <row r="650" customFormat="false" ht="15.75" hidden="false" customHeight="false" outlineLevel="0" collapsed="false">
      <c r="D650" s="19"/>
      <c r="E650" s="19"/>
    </row>
    <row r="651" customFormat="false" ht="15.75" hidden="false" customHeight="false" outlineLevel="0" collapsed="false">
      <c r="D651" s="19"/>
      <c r="E651" s="19"/>
    </row>
    <row r="652" customFormat="false" ht="15.75" hidden="false" customHeight="false" outlineLevel="0" collapsed="false">
      <c r="D652" s="19"/>
      <c r="E652" s="19"/>
    </row>
    <row r="653" customFormat="false" ht="15.75" hidden="false" customHeight="false" outlineLevel="0" collapsed="false">
      <c r="D653" s="19"/>
      <c r="E653" s="19"/>
    </row>
    <row r="654" customFormat="false" ht="15.75" hidden="false" customHeight="false" outlineLevel="0" collapsed="false">
      <c r="D654" s="19"/>
      <c r="E654" s="19"/>
    </row>
    <row r="655" customFormat="false" ht="15.75" hidden="false" customHeight="false" outlineLevel="0" collapsed="false">
      <c r="D655" s="19"/>
      <c r="E655" s="19"/>
    </row>
    <row r="656" customFormat="false" ht="15.75" hidden="false" customHeight="false" outlineLevel="0" collapsed="false">
      <c r="D656" s="19"/>
      <c r="E656" s="19"/>
    </row>
    <row r="657" customFormat="false" ht="15.75" hidden="false" customHeight="false" outlineLevel="0" collapsed="false">
      <c r="D657" s="19"/>
      <c r="E657" s="19"/>
    </row>
    <row r="658" customFormat="false" ht="15.75" hidden="false" customHeight="false" outlineLevel="0" collapsed="false">
      <c r="D658" s="19"/>
      <c r="E658" s="19"/>
    </row>
    <row r="659" customFormat="false" ht="15.75" hidden="false" customHeight="false" outlineLevel="0" collapsed="false">
      <c r="D659" s="19"/>
      <c r="E659" s="19"/>
    </row>
    <row r="660" customFormat="false" ht="15.75" hidden="false" customHeight="false" outlineLevel="0" collapsed="false">
      <c r="D660" s="19"/>
      <c r="E660" s="19"/>
    </row>
    <row r="661" customFormat="false" ht="15.75" hidden="false" customHeight="false" outlineLevel="0" collapsed="false">
      <c r="D661" s="19"/>
      <c r="E661" s="19"/>
    </row>
    <row r="662" customFormat="false" ht="15.75" hidden="false" customHeight="false" outlineLevel="0" collapsed="false">
      <c r="D662" s="19"/>
      <c r="E662" s="19"/>
    </row>
    <row r="663" customFormat="false" ht="15.75" hidden="false" customHeight="false" outlineLevel="0" collapsed="false">
      <c r="D663" s="19"/>
      <c r="E663" s="19"/>
    </row>
    <row r="664" customFormat="false" ht="15.75" hidden="false" customHeight="false" outlineLevel="0" collapsed="false">
      <c r="D664" s="19"/>
      <c r="E664" s="19"/>
    </row>
    <row r="665" customFormat="false" ht="15.75" hidden="false" customHeight="false" outlineLevel="0" collapsed="false">
      <c r="D665" s="19"/>
      <c r="E665" s="19"/>
    </row>
    <row r="666" customFormat="false" ht="15.75" hidden="false" customHeight="false" outlineLevel="0" collapsed="false">
      <c r="D666" s="19"/>
      <c r="E666" s="19"/>
    </row>
    <row r="667" customFormat="false" ht="15.75" hidden="false" customHeight="false" outlineLevel="0" collapsed="false">
      <c r="D667" s="19"/>
      <c r="E667" s="19"/>
    </row>
    <row r="668" customFormat="false" ht="15.75" hidden="false" customHeight="false" outlineLevel="0" collapsed="false">
      <c r="D668" s="19"/>
      <c r="E668" s="19"/>
    </row>
    <row r="669" customFormat="false" ht="15.75" hidden="false" customHeight="false" outlineLevel="0" collapsed="false">
      <c r="D669" s="19"/>
      <c r="E669" s="19"/>
    </row>
    <row r="670" customFormat="false" ht="15.75" hidden="false" customHeight="false" outlineLevel="0" collapsed="false">
      <c r="D670" s="19"/>
      <c r="E670" s="19"/>
    </row>
    <row r="671" customFormat="false" ht="15.75" hidden="false" customHeight="false" outlineLevel="0" collapsed="false">
      <c r="D671" s="19"/>
      <c r="E671" s="19"/>
    </row>
    <row r="672" customFormat="false" ht="15.75" hidden="false" customHeight="false" outlineLevel="0" collapsed="false">
      <c r="D672" s="19"/>
      <c r="E672" s="19"/>
    </row>
    <row r="673" customFormat="false" ht="15.75" hidden="false" customHeight="false" outlineLevel="0" collapsed="false">
      <c r="D673" s="19"/>
      <c r="E673" s="19"/>
    </row>
    <row r="674" customFormat="false" ht="15.75" hidden="false" customHeight="false" outlineLevel="0" collapsed="false">
      <c r="D674" s="19"/>
      <c r="E674" s="19"/>
    </row>
    <row r="675" customFormat="false" ht="15.75" hidden="false" customHeight="false" outlineLevel="0" collapsed="false">
      <c r="D675" s="19"/>
      <c r="E675" s="19"/>
    </row>
    <row r="676" customFormat="false" ht="15.75" hidden="false" customHeight="false" outlineLevel="0" collapsed="false">
      <c r="D676" s="19"/>
      <c r="E676" s="19"/>
    </row>
    <row r="677" customFormat="false" ht="15.75" hidden="false" customHeight="false" outlineLevel="0" collapsed="false">
      <c r="D677" s="19"/>
      <c r="E677" s="19"/>
    </row>
    <row r="678" customFormat="false" ht="15.75" hidden="false" customHeight="false" outlineLevel="0" collapsed="false">
      <c r="D678" s="19"/>
      <c r="E678" s="19"/>
    </row>
    <row r="679" customFormat="false" ht="15.75" hidden="false" customHeight="false" outlineLevel="0" collapsed="false">
      <c r="D679" s="19"/>
      <c r="E679" s="19"/>
    </row>
    <row r="680" customFormat="false" ht="15.75" hidden="false" customHeight="false" outlineLevel="0" collapsed="false">
      <c r="D680" s="19"/>
      <c r="E680" s="19"/>
    </row>
    <row r="681" customFormat="false" ht="15.75" hidden="false" customHeight="false" outlineLevel="0" collapsed="false">
      <c r="D681" s="19"/>
      <c r="E681" s="19"/>
    </row>
    <row r="682" customFormat="false" ht="15.75" hidden="false" customHeight="false" outlineLevel="0" collapsed="false">
      <c r="D682" s="19"/>
      <c r="E682" s="19"/>
    </row>
    <row r="683" customFormat="false" ht="15.75" hidden="false" customHeight="false" outlineLevel="0" collapsed="false">
      <c r="D683" s="19"/>
      <c r="E683" s="19"/>
    </row>
    <row r="684" customFormat="false" ht="15.75" hidden="false" customHeight="false" outlineLevel="0" collapsed="false">
      <c r="D684" s="19"/>
      <c r="E684" s="19"/>
    </row>
    <row r="685" customFormat="false" ht="15.75" hidden="false" customHeight="false" outlineLevel="0" collapsed="false">
      <c r="D685" s="19"/>
      <c r="E685" s="19"/>
    </row>
    <row r="686" customFormat="false" ht="15.75" hidden="false" customHeight="false" outlineLevel="0" collapsed="false">
      <c r="D686" s="19"/>
      <c r="E686" s="19"/>
    </row>
    <row r="687" customFormat="false" ht="15.75" hidden="false" customHeight="false" outlineLevel="0" collapsed="false">
      <c r="D687" s="19"/>
      <c r="E687" s="19"/>
    </row>
    <row r="688" customFormat="false" ht="15.75" hidden="false" customHeight="false" outlineLevel="0" collapsed="false">
      <c r="D688" s="19"/>
      <c r="E688" s="19"/>
    </row>
    <row r="689" customFormat="false" ht="15.75" hidden="false" customHeight="false" outlineLevel="0" collapsed="false">
      <c r="D689" s="19"/>
      <c r="E689" s="19"/>
    </row>
    <row r="690" customFormat="false" ht="15.75" hidden="false" customHeight="false" outlineLevel="0" collapsed="false">
      <c r="D690" s="19"/>
      <c r="E690" s="19"/>
    </row>
    <row r="691" customFormat="false" ht="15.75" hidden="false" customHeight="false" outlineLevel="0" collapsed="false">
      <c r="D691" s="19"/>
      <c r="E691" s="19"/>
    </row>
    <row r="692" customFormat="false" ht="15.75" hidden="false" customHeight="false" outlineLevel="0" collapsed="false">
      <c r="D692" s="19"/>
      <c r="E692" s="19"/>
    </row>
    <row r="693" customFormat="false" ht="15.75" hidden="false" customHeight="false" outlineLevel="0" collapsed="false">
      <c r="D693" s="19"/>
      <c r="E693" s="19"/>
    </row>
    <row r="694" customFormat="false" ht="15.75" hidden="false" customHeight="false" outlineLevel="0" collapsed="false">
      <c r="D694" s="19"/>
      <c r="E694" s="19"/>
    </row>
    <row r="695" customFormat="false" ht="15.75" hidden="false" customHeight="false" outlineLevel="0" collapsed="false">
      <c r="D695" s="19"/>
      <c r="E695" s="19"/>
    </row>
    <row r="696" customFormat="false" ht="15.75" hidden="false" customHeight="false" outlineLevel="0" collapsed="false">
      <c r="D696" s="19"/>
      <c r="E696" s="19"/>
    </row>
    <row r="697" customFormat="false" ht="15.75" hidden="false" customHeight="false" outlineLevel="0" collapsed="false">
      <c r="D697" s="19"/>
      <c r="E697" s="19"/>
    </row>
    <row r="698" customFormat="false" ht="15.75" hidden="false" customHeight="false" outlineLevel="0" collapsed="false">
      <c r="D698" s="19"/>
      <c r="E698" s="19"/>
    </row>
    <row r="699" customFormat="false" ht="15.75" hidden="false" customHeight="false" outlineLevel="0" collapsed="false">
      <c r="D699" s="19"/>
      <c r="E699" s="19"/>
    </row>
    <row r="700" customFormat="false" ht="15.75" hidden="false" customHeight="false" outlineLevel="0" collapsed="false">
      <c r="D700" s="19"/>
      <c r="E700" s="19"/>
    </row>
    <row r="701" customFormat="false" ht="15.75" hidden="false" customHeight="false" outlineLevel="0" collapsed="false">
      <c r="D701" s="19"/>
      <c r="E701" s="19"/>
    </row>
    <row r="702" customFormat="false" ht="15.75" hidden="false" customHeight="false" outlineLevel="0" collapsed="false">
      <c r="D702" s="19"/>
      <c r="E702" s="19"/>
    </row>
    <row r="703" customFormat="false" ht="15.75" hidden="false" customHeight="false" outlineLevel="0" collapsed="false">
      <c r="D703" s="19"/>
      <c r="E703" s="19"/>
    </row>
    <row r="704" customFormat="false" ht="15.75" hidden="false" customHeight="false" outlineLevel="0" collapsed="false">
      <c r="D704" s="19"/>
      <c r="E704" s="19"/>
    </row>
    <row r="705" customFormat="false" ht="15.75" hidden="false" customHeight="false" outlineLevel="0" collapsed="false">
      <c r="D705" s="19"/>
      <c r="E705" s="19"/>
    </row>
    <row r="706" customFormat="false" ht="15.75" hidden="false" customHeight="false" outlineLevel="0" collapsed="false">
      <c r="D706" s="19"/>
      <c r="E706" s="19"/>
    </row>
    <row r="707" customFormat="false" ht="15.75" hidden="false" customHeight="false" outlineLevel="0" collapsed="false">
      <c r="D707" s="19"/>
      <c r="E707" s="19"/>
    </row>
    <row r="708" customFormat="false" ht="15.75" hidden="false" customHeight="false" outlineLevel="0" collapsed="false">
      <c r="D708" s="19"/>
      <c r="E708" s="19"/>
    </row>
    <row r="709" customFormat="false" ht="15.75" hidden="false" customHeight="false" outlineLevel="0" collapsed="false">
      <c r="D709" s="19"/>
      <c r="E709" s="19"/>
    </row>
    <row r="710" customFormat="false" ht="15.75" hidden="false" customHeight="false" outlineLevel="0" collapsed="false">
      <c r="D710" s="19"/>
      <c r="E710" s="19"/>
    </row>
    <row r="711" customFormat="false" ht="15.75" hidden="false" customHeight="false" outlineLevel="0" collapsed="false">
      <c r="D711" s="19"/>
      <c r="E711" s="19"/>
    </row>
    <row r="712" customFormat="false" ht="15.75" hidden="false" customHeight="false" outlineLevel="0" collapsed="false">
      <c r="D712" s="19"/>
      <c r="E712" s="19"/>
    </row>
    <row r="713" customFormat="false" ht="15.75" hidden="false" customHeight="false" outlineLevel="0" collapsed="false">
      <c r="D713" s="19"/>
      <c r="E713" s="19"/>
    </row>
    <row r="714" customFormat="false" ht="15.75" hidden="false" customHeight="false" outlineLevel="0" collapsed="false">
      <c r="D714" s="19"/>
      <c r="E714" s="19"/>
    </row>
    <row r="715" customFormat="false" ht="15.75" hidden="false" customHeight="false" outlineLevel="0" collapsed="false">
      <c r="D715" s="19"/>
      <c r="E715" s="19"/>
    </row>
    <row r="716" customFormat="false" ht="15.75" hidden="false" customHeight="false" outlineLevel="0" collapsed="false">
      <c r="D716" s="19"/>
      <c r="E716" s="19"/>
    </row>
    <row r="717" customFormat="false" ht="15.75" hidden="false" customHeight="false" outlineLevel="0" collapsed="false">
      <c r="D717" s="19"/>
      <c r="E717" s="19"/>
    </row>
    <row r="718" customFormat="false" ht="15.75" hidden="false" customHeight="false" outlineLevel="0" collapsed="false">
      <c r="D718" s="19"/>
      <c r="E718" s="19"/>
    </row>
    <row r="719" customFormat="false" ht="15.75" hidden="false" customHeight="false" outlineLevel="0" collapsed="false">
      <c r="D719" s="19"/>
      <c r="E719" s="19"/>
    </row>
    <row r="720" customFormat="false" ht="15.75" hidden="false" customHeight="false" outlineLevel="0" collapsed="false">
      <c r="D720" s="19"/>
      <c r="E720" s="19"/>
    </row>
    <row r="721" customFormat="false" ht="15.75" hidden="false" customHeight="false" outlineLevel="0" collapsed="false">
      <c r="D721" s="19"/>
      <c r="E721" s="19"/>
    </row>
    <row r="722" customFormat="false" ht="15.75" hidden="false" customHeight="false" outlineLevel="0" collapsed="false">
      <c r="D722" s="19"/>
      <c r="E722" s="19"/>
    </row>
    <row r="723" customFormat="false" ht="15.75" hidden="false" customHeight="false" outlineLevel="0" collapsed="false">
      <c r="D723" s="19"/>
      <c r="E723" s="19"/>
    </row>
    <row r="724" customFormat="false" ht="15.75" hidden="false" customHeight="false" outlineLevel="0" collapsed="false">
      <c r="D724" s="19"/>
      <c r="E724" s="19"/>
    </row>
    <row r="725" customFormat="false" ht="15.75" hidden="false" customHeight="false" outlineLevel="0" collapsed="false">
      <c r="D725" s="19"/>
      <c r="E725" s="19"/>
    </row>
    <row r="726" customFormat="false" ht="15.75" hidden="false" customHeight="false" outlineLevel="0" collapsed="false">
      <c r="D726" s="19"/>
      <c r="E726" s="19"/>
    </row>
    <row r="727" customFormat="false" ht="15.75" hidden="false" customHeight="false" outlineLevel="0" collapsed="false">
      <c r="D727" s="19"/>
      <c r="E727" s="19"/>
    </row>
    <row r="728" customFormat="false" ht="15.75" hidden="false" customHeight="false" outlineLevel="0" collapsed="false">
      <c r="D728" s="19"/>
      <c r="E728" s="19"/>
    </row>
    <row r="729" customFormat="false" ht="15.75" hidden="false" customHeight="false" outlineLevel="0" collapsed="false">
      <c r="D729" s="19"/>
      <c r="E729" s="19"/>
    </row>
    <row r="730" customFormat="false" ht="15.75" hidden="false" customHeight="false" outlineLevel="0" collapsed="false">
      <c r="D730" s="19"/>
      <c r="E730" s="19"/>
    </row>
    <row r="731" customFormat="false" ht="15.75" hidden="false" customHeight="false" outlineLevel="0" collapsed="false">
      <c r="D731" s="19"/>
      <c r="E731" s="19"/>
    </row>
    <row r="732" customFormat="false" ht="15.75" hidden="false" customHeight="false" outlineLevel="0" collapsed="false">
      <c r="D732" s="19"/>
      <c r="E732" s="19"/>
    </row>
    <row r="733" customFormat="false" ht="15.75" hidden="false" customHeight="false" outlineLevel="0" collapsed="false">
      <c r="D733" s="19"/>
      <c r="E733" s="19"/>
    </row>
    <row r="734" customFormat="false" ht="15.75" hidden="false" customHeight="false" outlineLevel="0" collapsed="false">
      <c r="D734" s="19"/>
      <c r="E734" s="19"/>
    </row>
    <row r="735" customFormat="false" ht="15.75" hidden="false" customHeight="false" outlineLevel="0" collapsed="false">
      <c r="D735" s="19"/>
      <c r="E735" s="19"/>
    </row>
    <row r="736" customFormat="false" ht="15.75" hidden="false" customHeight="false" outlineLevel="0" collapsed="false">
      <c r="D736" s="19"/>
      <c r="E736" s="19"/>
    </row>
    <row r="737" customFormat="false" ht="15.75" hidden="false" customHeight="false" outlineLevel="0" collapsed="false">
      <c r="D737" s="19"/>
      <c r="E737" s="19"/>
    </row>
    <row r="738" customFormat="false" ht="15.75" hidden="false" customHeight="false" outlineLevel="0" collapsed="false">
      <c r="D738" s="19"/>
      <c r="E738" s="19"/>
    </row>
    <row r="739" customFormat="false" ht="15.75" hidden="false" customHeight="false" outlineLevel="0" collapsed="false">
      <c r="D739" s="19"/>
      <c r="E739" s="19"/>
    </row>
    <row r="740" customFormat="false" ht="15.75" hidden="false" customHeight="false" outlineLevel="0" collapsed="false">
      <c r="D740" s="19"/>
      <c r="E740" s="19"/>
    </row>
    <row r="741" customFormat="false" ht="15.75" hidden="false" customHeight="false" outlineLevel="0" collapsed="false">
      <c r="D741" s="19"/>
      <c r="E741" s="19"/>
    </row>
    <row r="742" customFormat="false" ht="15.75" hidden="false" customHeight="false" outlineLevel="0" collapsed="false">
      <c r="D742" s="19"/>
      <c r="E742" s="19"/>
    </row>
    <row r="743" customFormat="false" ht="15.75" hidden="false" customHeight="false" outlineLevel="0" collapsed="false">
      <c r="D743" s="19"/>
      <c r="E743" s="19"/>
    </row>
    <row r="744" customFormat="false" ht="15.75" hidden="false" customHeight="false" outlineLevel="0" collapsed="false">
      <c r="D744" s="19"/>
      <c r="E744" s="19"/>
    </row>
    <row r="745" customFormat="false" ht="15.75" hidden="false" customHeight="false" outlineLevel="0" collapsed="false">
      <c r="D745" s="19"/>
      <c r="E745" s="19"/>
    </row>
    <row r="746" customFormat="false" ht="15.75" hidden="false" customHeight="false" outlineLevel="0" collapsed="false">
      <c r="D746" s="19"/>
      <c r="E746" s="19"/>
    </row>
    <row r="747" customFormat="false" ht="15.75" hidden="false" customHeight="false" outlineLevel="0" collapsed="false">
      <c r="D747" s="19"/>
      <c r="E747" s="19"/>
    </row>
    <row r="748" customFormat="false" ht="15.75" hidden="false" customHeight="false" outlineLevel="0" collapsed="false">
      <c r="D748" s="19"/>
      <c r="E748" s="19"/>
    </row>
    <row r="749" customFormat="false" ht="15.75" hidden="false" customHeight="false" outlineLevel="0" collapsed="false">
      <c r="D749" s="19"/>
      <c r="E749" s="19"/>
    </row>
    <row r="750" customFormat="false" ht="15.75" hidden="false" customHeight="false" outlineLevel="0" collapsed="false">
      <c r="D750" s="19"/>
      <c r="E750" s="19"/>
    </row>
    <row r="751" customFormat="false" ht="15.75" hidden="false" customHeight="false" outlineLevel="0" collapsed="false">
      <c r="D751" s="19"/>
      <c r="E751" s="19"/>
    </row>
    <row r="752" customFormat="false" ht="15.75" hidden="false" customHeight="false" outlineLevel="0" collapsed="false">
      <c r="D752" s="19"/>
      <c r="E752" s="19"/>
    </row>
    <row r="753" customFormat="false" ht="15.75" hidden="false" customHeight="false" outlineLevel="0" collapsed="false">
      <c r="D753" s="19"/>
      <c r="E753" s="19"/>
    </row>
    <row r="754" customFormat="false" ht="15.75" hidden="false" customHeight="false" outlineLevel="0" collapsed="false">
      <c r="D754" s="19"/>
      <c r="E754" s="19"/>
    </row>
    <row r="755" customFormat="false" ht="15.75" hidden="false" customHeight="false" outlineLevel="0" collapsed="false">
      <c r="D755" s="19"/>
      <c r="E755" s="19"/>
    </row>
    <row r="756" customFormat="false" ht="15.75" hidden="false" customHeight="false" outlineLevel="0" collapsed="false">
      <c r="D756" s="19"/>
      <c r="E756" s="19"/>
    </row>
    <row r="757" customFormat="false" ht="15.75" hidden="false" customHeight="false" outlineLevel="0" collapsed="false">
      <c r="D757" s="19"/>
      <c r="E757" s="19"/>
    </row>
    <row r="758" customFormat="false" ht="15.75" hidden="false" customHeight="false" outlineLevel="0" collapsed="false">
      <c r="D758" s="19"/>
      <c r="E758" s="19"/>
    </row>
    <row r="759" customFormat="false" ht="15.75" hidden="false" customHeight="false" outlineLevel="0" collapsed="false">
      <c r="D759" s="19"/>
      <c r="E759" s="19"/>
    </row>
    <row r="760" customFormat="false" ht="15.75" hidden="false" customHeight="false" outlineLevel="0" collapsed="false">
      <c r="D760" s="19"/>
      <c r="E760" s="19"/>
    </row>
    <row r="761" customFormat="false" ht="15.75" hidden="false" customHeight="false" outlineLevel="0" collapsed="false">
      <c r="D761" s="19"/>
      <c r="E761" s="19"/>
    </row>
    <row r="762" customFormat="false" ht="15.75" hidden="false" customHeight="false" outlineLevel="0" collapsed="false">
      <c r="D762" s="19"/>
      <c r="E762" s="19"/>
    </row>
    <row r="763" customFormat="false" ht="15.75" hidden="false" customHeight="false" outlineLevel="0" collapsed="false">
      <c r="D763" s="19"/>
      <c r="E763" s="19"/>
    </row>
    <row r="764" customFormat="false" ht="15.75" hidden="false" customHeight="false" outlineLevel="0" collapsed="false">
      <c r="D764" s="19"/>
      <c r="E764" s="19"/>
    </row>
    <row r="765" customFormat="false" ht="15.75" hidden="false" customHeight="false" outlineLevel="0" collapsed="false">
      <c r="D765" s="19"/>
      <c r="E765" s="19"/>
    </row>
    <row r="766" customFormat="false" ht="15.75" hidden="false" customHeight="false" outlineLevel="0" collapsed="false">
      <c r="D766" s="19"/>
      <c r="E766" s="19"/>
    </row>
    <row r="767" customFormat="false" ht="15.75" hidden="false" customHeight="false" outlineLevel="0" collapsed="false">
      <c r="D767" s="19"/>
      <c r="E767" s="19"/>
    </row>
    <row r="768" customFormat="false" ht="15.75" hidden="false" customHeight="false" outlineLevel="0" collapsed="false">
      <c r="D768" s="19"/>
      <c r="E768" s="19"/>
    </row>
    <row r="769" customFormat="false" ht="15.75" hidden="false" customHeight="false" outlineLevel="0" collapsed="false">
      <c r="D769" s="19"/>
      <c r="E769" s="19"/>
    </row>
    <row r="770" customFormat="false" ht="15.75" hidden="false" customHeight="false" outlineLevel="0" collapsed="false">
      <c r="D770" s="19"/>
      <c r="E770" s="19"/>
    </row>
    <row r="771" customFormat="false" ht="15.75" hidden="false" customHeight="false" outlineLevel="0" collapsed="false">
      <c r="D771" s="19"/>
      <c r="E771" s="19"/>
    </row>
    <row r="772" customFormat="false" ht="15.75" hidden="false" customHeight="false" outlineLevel="0" collapsed="false">
      <c r="D772" s="19"/>
      <c r="E772" s="19"/>
    </row>
    <row r="773" customFormat="false" ht="15.75" hidden="false" customHeight="false" outlineLevel="0" collapsed="false">
      <c r="D773" s="19"/>
      <c r="E773" s="19"/>
    </row>
    <row r="774" customFormat="false" ht="15.75" hidden="false" customHeight="false" outlineLevel="0" collapsed="false">
      <c r="D774" s="19"/>
      <c r="E774" s="19"/>
    </row>
    <row r="775" customFormat="false" ht="15.75" hidden="false" customHeight="false" outlineLevel="0" collapsed="false">
      <c r="D775" s="19"/>
      <c r="E775" s="19"/>
    </row>
    <row r="776" customFormat="false" ht="15.75" hidden="false" customHeight="false" outlineLevel="0" collapsed="false">
      <c r="D776" s="19"/>
      <c r="E776" s="19"/>
    </row>
    <row r="777" customFormat="false" ht="15.75" hidden="false" customHeight="false" outlineLevel="0" collapsed="false">
      <c r="D777" s="19"/>
      <c r="E777" s="19"/>
    </row>
    <row r="778" customFormat="false" ht="15.75" hidden="false" customHeight="false" outlineLevel="0" collapsed="false">
      <c r="D778" s="19"/>
      <c r="E778" s="19"/>
    </row>
    <row r="779" customFormat="false" ht="15.75" hidden="false" customHeight="false" outlineLevel="0" collapsed="false">
      <c r="D779" s="19"/>
      <c r="E779" s="19"/>
    </row>
    <row r="780" customFormat="false" ht="15.75" hidden="false" customHeight="false" outlineLevel="0" collapsed="false">
      <c r="D780" s="19"/>
      <c r="E780" s="19"/>
    </row>
    <row r="781" customFormat="false" ht="15.75" hidden="false" customHeight="false" outlineLevel="0" collapsed="false">
      <c r="D781" s="19"/>
      <c r="E781" s="19"/>
    </row>
    <row r="782" customFormat="false" ht="15.75" hidden="false" customHeight="false" outlineLevel="0" collapsed="false">
      <c r="D782" s="19"/>
      <c r="E782" s="19"/>
    </row>
    <row r="783" customFormat="false" ht="15.75" hidden="false" customHeight="false" outlineLevel="0" collapsed="false">
      <c r="D783" s="19"/>
      <c r="E783" s="19"/>
    </row>
    <row r="784" customFormat="false" ht="15.75" hidden="false" customHeight="false" outlineLevel="0" collapsed="false">
      <c r="D784" s="19"/>
      <c r="E784" s="19"/>
    </row>
    <row r="785" customFormat="false" ht="15.75" hidden="false" customHeight="false" outlineLevel="0" collapsed="false">
      <c r="D785" s="19"/>
      <c r="E785" s="19"/>
    </row>
    <row r="786" customFormat="false" ht="15.75" hidden="false" customHeight="false" outlineLevel="0" collapsed="false">
      <c r="D786" s="19"/>
      <c r="E786" s="19"/>
    </row>
    <row r="787" customFormat="false" ht="15.75" hidden="false" customHeight="false" outlineLevel="0" collapsed="false">
      <c r="D787" s="19"/>
      <c r="E787" s="19"/>
    </row>
    <row r="788" customFormat="false" ht="15.75" hidden="false" customHeight="false" outlineLevel="0" collapsed="false">
      <c r="D788" s="19"/>
      <c r="E788" s="19"/>
    </row>
    <row r="789" customFormat="false" ht="15.75" hidden="false" customHeight="false" outlineLevel="0" collapsed="false">
      <c r="D789" s="19"/>
      <c r="E789" s="19"/>
    </row>
    <row r="790" customFormat="false" ht="15.75" hidden="false" customHeight="false" outlineLevel="0" collapsed="false">
      <c r="D790" s="19"/>
      <c r="E790" s="19"/>
    </row>
    <row r="791" customFormat="false" ht="15.75" hidden="false" customHeight="false" outlineLevel="0" collapsed="false">
      <c r="D791" s="19"/>
      <c r="E791" s="19"/>
    </row>
    <row r="792" customFormat="false" ht="15.75" hidden="false" customHeight="false" outlineLevel="0" collapsed="false">
      <c r="D792" s="19"/>
      <c r="E792" s="19"/>
    </row>
    <row r="793" customFormat="false" ht="15.75" hidden="false" customHeight="false" outlineLevel="0" collapsed="false">
      <c r="D793" s="19"/>
      <c r="E793" s="19"/>
    </row>
    <row r="794" customFormat="false" ht="15.75" hidden="false" customHeight="false" outlineLevel="0" collapsed="false">
      <c r="D794" s="19"/>
      <c r="E794" s="19"/>
    </row>
    <row r="795" customFormat="false" ht="15.75" hidden="false" customHeight="false" outlineLevel="0" collapsed="false">
      <c r="D795" s="19"/>
      <c r="E795" s="19"/>
    </row>
    <row r="796" customFormat="false" ht="15.75" hidden="false" customHeight="false" outlineLevel="0" collapsed="false">
      <c r="D796" s="19"/>
      <c r="E796" s="19"/>
    </row>
    <row r="797" customFormat="false" ht="15.75" hidden="false" customHeight="false" outlineLevel="0" collapsed="false">
      <c r="D797" s="19"/>
      <c r="E797" s="19"/>
    </row>
    <row r="798" customFormat="false" ht="15.75" hidden="false" customHeight="false" outlineLevel="0" collapsed="false">
      <c r="D798" s="19"/>
      <c r="E798" s="19"/>
    </row>
    <row r="799" customFormat="false" ht="15.75" hidden="false" customHeight="false" outlineLevel="0" collapsed="false">
      <c r="D799" s="19"/>
      <c r="E799" s="19"/>
    </row>
    <row r="800" customFormat="false" ht="15.75" hidden="false" customHeight="false" outlineLevel="0" collapsed="false">
      <c r="D800" s="19"/>
      <c r="E800" s="19"/>
    </row>
    <row r="801" customFormat="false" ht="15.75" hidden="false" customHeight="false" outlineLevel="0" collapsed="false">
      <c r="D801" s="19"/>
      <c r="E801" s="19"/>
    </row>
    <row r="802" customFormat="false" ht="15.75" hidden="false" customHeight="false" outlineLevel="0" collapsed="false">
      <c r="D802" s="19"/>
      <c r="E802" s="19"/>
    </row>
    <row r="803" customFormat="false" ht="15.75" hidden="false" customHeight="false" outlineLevel="0" collapsed="false">
      <c r="D803" s="19"/>
      <c r="E803" s="19"/>
    </row>
    <row r="804" customFormat="false" ht="15.75" hidden="false" customHeight="false" outlineLevel="0" collapsed="false">
      <c r="D804" s="19"/>
      <c r="E804" s="19"/>
    </row>
    <row r="805" customFormat="false" ht="15.75" hidden="false" customHeight="false" outlineLevel="0" collapsed="false">
      <c r="D805" s="19"/>
      <c r="E805" s="19"/>
    </row>
    <row r="806" customFormat="false" ht="15.75" hidden="false" customHeight="false" outlineLevel="0" collapsed="false">
      <c r="D806" s="19"/>
      <c r="E806" s="19"/>
    </row>
    <row r="807" customFormat="false" ht="15.75" hidden="false" customHeight="false" outlineLevel="0" collapsed="false">
      <c r="D807" s="19"/>
      <c r="E807" s="19"/>
    </row>
    <row r="808" customFormat="false" ht="15.75" hidden="false" customHeight="false" outlineLevel="0" collapsed="false">
      <c r="D808" s="19"/>
      <c r="E808" s="19"/>
    </row>
    <row r="809" customFormat="false" ht="15.75" hidden="false" customHeight="false" outlineLevel="0" collapsed="false">
      <c r="D809" s="19"/>
      <c r="E809" s="19"/>
    </row>
    <row r="810" customFormat="false" ht="15.75" hidden="false" customHeight="false" outlineLevel="0" collapsed="false">
      <c r="D810" s="19"/>
      <c r="E810" s="19"/>
    </row>
    <row r="811" customFormat="false" ht="15.75" hidden="false" customHeight="false" outlineLevel="0" collapsed="false">
      <c r="D811" s="19"/>
      <c r="E811" s="19"/>
    </row>
    <row r="812" customFormat="false" ht="15.75" hidden="false" customHeight="false" outlineLevel="0" collapsed="false">
      <c r="D812" s="19"/>
      <c r="E812" s="19"/>
    </row>
    <row r="813" customFormat="false" ht="15.75" hidden="false" customHeight="false" outlineLevel="0" collapsed="false">
      <c r="D813" s="19"/>
      <c r="E813" s="19"/>
    </row>
    <row r="814" customFormat="false" ht="15.75" hidden="false" customHeight="false" outlineLevel="0" collapsed="false">
      <c r="D814" s="19"/>
      <c r="E814" s="19"/>
    </row>
    <row r="815" customFormat="false" ht="15.75" hidden="false" customHeight="false" outlineLevel="0" collapsed="false">
      <c r="D815" s="19"/>
      <c r="E815" s="19"/>
    </row>
    <row r="816" customFormat="false" ht="15.75" hidden="false" customHeight="false" outlineLevel="0" collapsed="false">
      <c r="D816" s="19"/>
      <c r="E816" s="19"/>
    </row>
    <row r="817" customFormat="false" ht="15.75" hidden="false" customHeight="false" outlineLevel="0" collapsed="false">
      <c r="D817" s="19"/>
      <c r="E817" s="19"/>
    </row>
    <row r="818" customFormat="false" ht="15.75" hidden="false" customHeight="false" outlineLevel="0" collapsed="false">
      <c r="D818" s="19"/>
      <c r="E818" s="19"/>
    </row>
    <row r="819" customFormat="false" ht="15.75" hidden="false" customHeight="false" outlineLevel="0" collapsed="false">
      <c r="D819" s="19"/>
      <c r="E819" s="19"/>
    </row>
    <row r="820" customFormat="false" ht="15.75" hidden="false" customHeight="false" outlineLevel="0" collapsed="false">
      <c r="D820" s="19"/>
      <c r="E820" s="19"/>
    </row>
    <row r="821" customFormat="false" ht="15.75" hidden="false" customHeight="false" outlineLevel="0" collapsed="false">
      <c r="D821" s="19"/>
      <c r="E821" s="19"/>
    </row>
    <row r="822" customFormat="false" ht="15.75" hidden="false" customHeight="false" outlineLevel="0" collapsed="false">
      <c r="D822" s="19"/>
      <c r="E822" s="19"/>
    </row>
    <row r="823" customFormat="false" ht="15.75" hidden="false" customHeight="false" outlineLevel="0" collapsed="false">
      <c r="D823" s="19"/>
      <c r="E823" s="19"/>
    </row>
    <row r="824" customFormat="false" ht="15.75" hidden="false" customHeight="false" outlineLevel="0" collapsed="false">
      <c r="D824" s="19"/>
      <c r="E824" s="19"/>
    </row>
    <row r="825" customFormat="false" ht="15.75" hidden="false" customHeight="false" outlineLevel="0" collapsed="false">
      <c r="D825" s="19"/>
      <c r="E825" s="19"/>
    </row>
    <row r="826" customFormat="false" ht="15.75" hidden="false" customHeight="false" outlineLevel="0" collapsed="false">
      <c r="D826" s="19"/>
      <c r="E826" s="19"/>
    </row>
    <row r="827" customFormat="false" ht="15.75" hidden="false" customHeight="false" outlineLevel="0" collapsed="false">
      <c r="D827" s="19"/>
      <c r="E827" s="19"/>
    </row>
    <row r="828" customFormat="false" ht="15.75" hidden="false" customHeight="false" outlineLevel="0" collapsed="false">
      <c r="D828" s="19"/>
      <c r="E828" s="19"/>
    </row>
    <row r="829" customFormat="false" ht="15.75" hidden="false" customHeight="false" outlineLevel="0" collapsed="false">
      <c r="D829" s="19"/>
      <c r="E829" s="19"/>
    </row>
    <row r="830" customFormat="false" ht="15.75" hidden="false" customHeight="false" outlineLevel="0" collapsed="false">
      <c r="D830" s="19"/>
      <c r="E830" s="19"/>
    </row>
    <row r="831" customFormat="false" ht="15.75" hidden="false" customHeight="false" outlineLevel="0" collapsed="false">
      <c r="D831" s="19"/>
      <c r="E831" s="19"/>
    </row>
    <row r="832" customFormat="false" ht="15.75" hidden="false" customHeight="false" outlineLevel="0" collapsed="false">
      <c r="D832" s="19"/>
      <c r="E832" s="19"/>
    </row>
    <row r="833" customFormat="false" ht="15.75" hidden="false" customHeight="false" outlineLevel="0" collapsed="false">
      <c r="D833" s="19"/>
      <c r="E833" s="19"/>
    </row>
    <row r="834" customFormat="false" ht="15.75" hidden="false" customHeight="false" outlineLevel="0" collapsed="false">
      <c r="D834" s="19"/>
      <c r="E834" s="19"/>
    </row>
    <row r="835" customFormat="false" ht="15.75" hidden="false" customHeight="false" outlineLevel="0" collapsed="false">
      <c r="D835" s="19"/>
      <c r="E835" s="19"/>
    </row>
    <row r="836" customFormat="false" ht="15.75" hidden="false" customHeight="false" outlineLevel="0" collapsed="false">
      <c r="D836" s="19"/>
      <c r="E836" s="19"/>
    </row>
    <row r="837" customFormat="false" ht="15.75" hidden="false" customHeight="false" outlineLevel="0" collapsed="false">
      <c r="D837" s="19"/>
      <c r="E837" s="19"/>
    </row>
    <row r="838" customFormat="false" ht="15.75" hidden="false" customHeight="false" outlineLevel="0" collapsed="false">
      <c r="D838" s="19"/>
      <c r="E838" s="19"/>
    </row>
    <row r="839" customFormat="false" ht="15.75" hidden="false" customHeight="false" outlineLevel="0" collapsed="false">
      <c r="D839" s="19"/>
      <c r="E839" s="19"/>
    </row>
    <row r="840" customFormat="false" ht="15.75" hidden="false" customHeight="false" outlineLevel="0" collapsed="false">
      <c r="D840" s="19"/>
      <c r="E840" s="19"/>
    </row>
    <row r="841" customFormat="false" ht="15.75" hidden="false" customHeight="false" outlineLevel="0" collapsed="false">
      <c r="D841" s="19"/>
      <c r="E841" s="19"/>
    </row>
    <row r="842" customFormat="false" ht="15.75" hidden="false" customHeight="false" outlineLevel="0" collapsed="false">
      <c r="D842" s="19"/>
      <c r="E842" s="19"/>
    </row>
    <row r="843" customFormat="false" ht="15.75" hidden="false" customHeight="false" outlineLevel="0" collapsed="false">
      <c r="D843" s="19"/>
      <c r="E843" s="19"/>
    </row>
    <row r="844" customFormat="false" ht="15.75" hidden="false" customHeight="false" outlineLevel="0" collapsed="false">
      <c r="D844" s="19"/>
      <c r="E844" s="19"/>
    </row>
    <row r="845" customFormat="false" ht="15.75" hidden="false" customHeight="false" outlineLevel="0" collapsed="false">
      <c r="D845" s="19"/>
      <c r="E845" s="19"/>
    </row>
    <row r="846" customFormat="false" ht="15.75" hidden="false" customHeight="false" outlineLevel="0" collapsed="false">
      <c r="D846" s="19"/>
      <c r="E846" s="19"/>
    </row>
    <row r="847" customFormat="false" ht="15.75" hidden="false" customHeight="false" outlineLevel="0" collapsed="false">
      <c r="D847" s="19"/>
      <c r="E847" s="19"/>
    </row>
    <row r="848" customFormat="false" ht="15.75" hidden="false" customHeight="false" outlineLevel="0" collapsed="false">
      <c r="D848" s="19"/>
      <c r="E848" s="19"/>
    </row>
    <row r="849" customFormat="false" ht="15.75" hidden="false" customHeight="false" outlineLevel="0" collapsed="false">
      <c r="D849" s="19"/>
      <c r="E849" s="19"/>
    </row>
    <row r="850" customFormat="false" ht="15.75" hidden="false" customHeight="false" outlineLevel="0" collapsed="false">
      <c r="D850" s="19"/>
      <c r="E850" s="19"/>
    </row>
    <row r="851" customFormat="false" ht="15.75" hidden="false" customHeight="false" outlineLevel="0" collapsed="false">
      <c r="D851" s="19"/>
      <c r="E851" s="19"/>
    </row>
    <row r="852" customFormat="false" ht="15.75" hidden="false" customHeight="false" outlineLevel="0" collapsed="false">
      <c r="D852" s="19"/>
      <c r="E852" s="19"/>
    </row>
    <row r="853" customFormat="false" ht="15.75" hidden="false" customHeight="false" outlineLevel="0" collapsed="false">
      <c r="D853" s="19"/>
      <c r="E853" s="19"/>
    </row>
    <row r="854" customFormat="false" ht="15.75" hidden="false" customHeight="false" outlineLevel="0" collapsed="false">
      <c r="D854" s="19"/>
      <c r="E854" s="19"/>
    </row>
    <row r="855" customFormat="false" ht="15.75" hidden="false" customHeight="false" outlineLevel="0" collapsed="false">
      <c r="D855" s="19"/>
      <c r="E855" s="19"/>
    </row>
    <row r="856" customFormat="false" ht="15.75" hidden="false" customHeight="false" outlineLevel="0" collapsed="false">
      <c r="D856" s="19"/>
      <c r="E856" s="19"/>
    </row>
    <row r="857" customFormat="false" ht="15.75" hidden="false" customHeight="false" outlineLevel="0" collapsed="false">
      <c r="D857" s="19"/>
      <c r="E857" s="19"/>
    </row>
    <row r="858" customFormat="false" ht="15.75" hidden="false" customHeight="false" outlineLevel="0" collapsed="false">
      <c r="D858" s="19"/>
      <c r="E858" s="19"/>
    </row>
    <row r="859" customFormat="false" ht="15.75" hidden="false" customHeight="false" outlineLevel="0" collapsed="false">
      <c r="D859" s="19"/>
      <c r="E859" s="19"/>
    </row>
    <row r="860" customFormat="false" ht="15.75" hidden="false" customHeight="false" outlineLevel="0" collapsed="false">
      <c r="D860" s="19"/>
      <c r="E860" s="19"/>
    </row>
    <row r="861" customFormat="false" ht="15.75" hidden="false" customHeight="false" outlineLevel="0" collapsed="false">
      <c r="D861" s="19"/>
      <c r="E861" s="19"/>
    </row>
    <row r="862" customFormat="false" ht="15.75" hidden="false" customHeight="false" outlineLevel="0" collapsed="false">
      <c r="D862" s="19"/>
      <c r="E862" s="19"/>
    </row>
    <row r="863" customFormat="false" ht="15.75" hidden="false" customHeight="false" outlineLevel="0" collapsed="false">
      <c r="D863" s="19"/>
      <c r="E863" s="19"/>
    </row>
    <row r="864" customFormat="false" ht="15.75" hidden="false" customHeight="false" outlineLevel="0" collapsed="false">
      <c r="D864" s="19"/>
      <c r="E864" s="19"/>
    </row>
    <row r="865" customFormat="false" ht="15.75" hidden="false" customHeight="false" outlineLevel="0" collapsed="false">
      <c r="D865" s="19"/>
      <c r="E865" s="19"/>
    </row>
    <row r="866" customFormat="false" ht="15.75" hidden="false" customHeight="false" outlineLevel="0" collapsed="false">
      <c r="D866" s="19"/>
      <c r="E866" s="19"/>
    </row>
    <row r="867" customFormat="false" ht="15.75" hidden="false" customHeight="false" outlineLevel="0" collapsed="false">
      <c r="D867" s="19"/>
      <c r="E867" s="19"/>
    </row>
    <row r="868" customFormat="false" ht="15.75" hidden="false" customHeight="false" outlineLevel="0" collapsed="false">
      <c r="D868" s="19"/>
      <c r="E868" s="19"/>
    </row>
    <row r="869" customFormat="false" ht="15.75" hidden="false" customHeight="false" outlineLevel="0" collapsed="false">
      <c r="D869" s="19"/>
      <c r="E869" s="19"/>
    </row>
    <row r="870" customFormat="false" ht="15.75" hidden="false" customHeight="false" outlineLevel="0" collapsed="false">
      <c r="D870" s="19"/>
      <c r="E870" s="19"/>
    </row>
    <row r="871" customFormat="false" ht="15.75" hidden="false" customHeight="false" outlineLevel="0" collapsed="false">
      <c r="D871" s="19"/>
      <c r="E871" s="19"/>
    </row>
    <row r="872" customFormat="false" ht="15.75" hidden="false" customHeight="false" outlineLevel="0" collapsed="false">
      <c r="D872" s="19"/>
      <c r="E872" s="19"/>
    </row>
    <row r="873" customFormat="false" ht="15.75" hidden="false" customHeight="false" outlineLevel="0" collapsed="false">
      <c r="D873" s="19"/>
      <c r="E873" s="19"/>
    </row>
    <row r="874" customFormat="false" ht="15.75" hidden="false" customHeight="false" outlineLevel="0" collapsed="false">
      <c r="D874" s="19"/>
      <c r="E874" s="19"/>
    </row>
    <row r="875" customFormat="false" ht="15.75" hidden="false" customHeight="false" outlineLevel="0" collapsed="false">
      <c r="D875" s="19"/>
      <c r="E875" s="19"/>
    </row>
    <row r="876" customFormat="false" ht="15.75" hidden="false" customHeight="false" outlineLevel="0" collapsed="false">
      <c r="D876" s="19"/>
      <c r="E876" s="19"/>
    </row>
    <row r="877" customFormat="false" ht="15.75" hidden="false" customHeight="false" outlineLevel="0" collapsed="false">
      <c r="D877" s="19"/>
      <c r="E877" s="19"/>
    </row>
    <row r="878" customFormat="false" ht="15.75" hidden="false" customHeight="false" outlineLevel="0" collapsed="false">
      <c r="D878" s="19"/>
      <c r="E878" s="19"/>
    </row>
    <row r="879" customFormat="false" ht="15.75" hidden="false" customHeight="false" outlineLevel="0" collapsed="false">
      <c r="D879" s="19"/>
      <c r="E879" s="19"/>
    </row>
    <row r="880" customFormat="false" ht="15.75" hidden="false" customHeight="false" outlineLevel="0" collapsed="false">
      <c r="D880" s="19"/>
      <c r="E880" s="19"/>
    </row>
    <row r="881" customFormat="false" ht="15.75" hidden="false" customHeight="false" outlineLevel="0" collapsed="false">
      <c r="D881" s="19"/>
      <c r="E881" s="19"/>
    </row>
    <row r="882" customFormat="false" ht="15.75" hidden="false" customHeight="false" outlineLevel="0" collapsed="false">
      <c r="D882" s="19"/>
      <c r="E882" s="19"/>
    </row>
    <row r="883" customFormat="false" ht="15.75" hidden="false" customHeight="false" outlineLevel="0" collapsed="false">
      <c r="D883" s="19"/>
      <c r="E883" s="19"/>
    </row>
    <row r="884" customFormat="false" ht="15.75" hidden="false" customHeight="false" outlineLevel="0" collapsed="false">
      <c r="D884" s="19"/>
      <c r="E884" s="19"/>
    </row>
    <row r="885" customFormat="false" ht="15.75" hidden="false" customHeight="false" outlineLevel="0" collapsed="false">
      <c r="D885" s="19"/>
      <c r="E885" s="19"/>
    </row>
    <row r="886" customFormat="false" ht="15.75" hidden="false" customHeight="false" outlineLevel="0" collapsed="false">
      <c r="D886" s="19"/>
      <c r="E886" s="19"/>
    </row>
    <row r="887" customFormat="false" ht="15.75" hidden="false" customHeight="false" outlineLevel="0" collapsed="false">
      <c r="D887" s="19"/>
      <c r="E887" s="19"/>
    </row>
    <row r="888" customFormat="false" ht="15.75" hidden="false" customHeight="false" outlineLevel="0" collapsed="false">
      <c r="D888" s="19"/>
      <c r="E888" s="19"/>
    </row>
    <row r="889" customFormat="false" ht="15.75" hidden="false" customHeight="false" outlineLevel="0" collapsed="false">
      <c r="D889" s="19"/>
      <c r="E889" s="19"/>
    </row>
    <row r="890" customFormat="false" ht="15.75" hidden="false" customHeight="false" outlineLevel="0" collapsed="false">
      <c r="D890" s="19"/>
      <c r="E890" s="19"/>
    </row>
    <row r="891" customFormat="false" ht="15.75" hidden="false" customHeight="false" outlineLevel="0" collapsed="false">
      <c r="D891" s="19"/>
      <c r="E891" s="19"/>
    </row>
    <row r="892" customFormat="false" ht="15.75" hidden="false" customHeight="false" outlineLevel="0" collapsed="false">
      <c r="D892" s="19"/>
      <c r="E892" s="19"/>
    </row>
    <row r="893" customFormat="false" ht="15.75" hidden="false" customHeight="false" outlineLevel="0" collapsed="false">
      <c r="D893" s="19"/>
      <c r="E893" s="19"/>
    </row>
    <row r="894" customFormat="false" ht="15.75" hidden="false" customHeight="false" outlineLevel="0" collapsed="false">
      <c r="D894" s="19"/>
      <c r="E894" s="19"/>
    </row>
    <row r="895" customFormat="false" ht="15.75" hidden="false" customHeight="false" outlineLevel="0" collapsed="false">
      <c r="D895" s="19"/>
      <c r="E895" s="19"/>
    </row>
    <row r="896" customFormat="false" ht="15.75" hidden="false" customHeight="false" outlineLevel="0" collapsed="false">
      <c r="D896" s="19"/>
      <c r="E896" s="19"/>
    </row>
    <row r="897" customFormat="false" ht="15.75" hidden="false" customHeight="false" outlineLevel="0" collapsed="false">
      <c r="D897" s="19"/>
      <c r="E897" s="19"/>
    </row>
    <row r="898" customFormat="false" ht="15.75" hidden="false" customHeight="false" outlineLevel="0" collapsed="false">
      <c r="D898" s="19"/>
      <c r="E898" s="19"/>
    </row>
    <row r="899" customFormat="false" ht="15.75" hidden="false" customHeight="false" outlineLevel="0" collapsed="false">
      <c r="D899" s="19"/>
      <c r="E899" s="19"/>
    </row>
    <row r="900" customFormat="false" ht="15.75" hidden="false" customHeight="false" outlineLevel="0" collapsed="false">
      <c r="D900" s="19"/>
      <c r="E900" s="19"/>
    </row>
    <row r="901" customFormat="false" ht="15.75" hidden="false" customHeight="false" outlineLevel="0" collapsed="false">
      <c r="D901" s="19"/>
      <c r="E901" s="19"/>
    </row>
    <row r="902" customFormat="false" ht="15.75" hidden="false" customHeight="false" outlineLevel="0" collapsed="false">
      <c r="D902" s="19"/>
      <c r="E902" s="19"/>
    </row>
    <row r="903" customFormat="false" ht="15.75" hidden="false" customHeight="false" outlineLevel="0" collapsed="false">
      <c r="D903" s="19"/>
      <c r="E903" s="19"/>
    </row>
    <row r="904" customFormat="false" ht="15.75" hidden="false" customHeight="false" outlineLevel="0" collapsed="false">
      <c r="D904" s="19"/>
      <c r="E904" s="19"/>
    </row>
    <row r="905" customFormat="false" ht="15.75" hidden="false" customHeight="false" outlineLevel="0" collapsed="false">
      <c r="D905" s="19"/>
      <c r="E905" s="19"/>
    </row>
    <row r="906" customFormat="false" ht="15.75" hidden="false" customHeight="false" outlineLevel="0" collapsed="false">
      <c r="D906" s="19"/>
      <c r="E906" s="19"/>
    </row>
    <row r="907" customFormat="false" ht="15.75" hidden="false" customHeight="false" outlineLevel="0" collapsed="false">
      <c r="D907" s="19"/>
      <c r="E907" s="19"/>
    </row>
    <row r="908" customFormat="false" ht="15.75" hidden="false" customHeight="false" outlineLevel="0" collapsed="false">
      <c r="D908" s="19"/>
      <c r="E908" s="19"/>
    </row>
    <row r="909" customFormat="false" ht="15.75" hidden="false" customHeight="false" outlineLevel="0" collapsed="false">
      <c r="D909" s="19"/>
      <c r="E909" s="19"/>
    </row>
    <row r="910" customFormat="false" ht="15.75" hidden="false" customHeight="false" outlineLevel="0" collapsed="false">
      <c r="D910" s="19"/>
      <c r="E910" s="19"/>
    </row>
    <row r="911" customFormat="false" ht="15.75" hidden="false" customHeight="false" outlineLevel="0" collapsed="false">
      <c r="D911" s="19"/>
      <c r="E911" s="19"/>
    </row>
    <row r="912" customFormat="false" ht="15.75" hidden="false" customHeight="false" outlineLevel="0" collapsed="false">
      <c r="D912" s="19"/>
      <c r="E912" s="19"/>
    </row>
    <row r="913" customFormat="false" ht="15.75" hidden="false" customHeight="false" outlineLevel="0" collapsed="false">
      <c r="D913" s="19"/>
      <c r="E913" s="19"/>
    </row>
    <row r="914" customFormat="false" ht="15.75" hidden="false" customHeight="false" outlineLevel="0" collapsed="false">
      <c r="D914" s="19"/>
      <c r="E914" s="19"/>
    </row>
    <row r="915" customFormat="false" ht="15.75" hidden="false" customHeight="false" outlineLevel="0" collapsed="false">
      <c r="D915" s="19"/>
      <c r="E915" s="19"/>
    </row>
    <row r="916" customFormat="false" ht="15.75" hidden="false" customHeight="false" outlineLevel="0" collapsed="false">
      <c r="D916" s="19"/>
      <c r="E916" s="19"/>
    </row>
    <row r="917" customFormat="false" ht="15.75" hidden="false" customHeight="false" outlineLevel="0" collapsed="false">
      <c r="D917" s="19"/>
      <c r="E917" s="19"/>
    </row>
    <row r="918" customFormat="false" ht="15.75" hidden="false" customHeight="false" outlineLevel="0" collapsed="false">
      <c r="D918" s="19"/>
      <c r="E918" s="19"/>
    </row>
    <row r="919" customFormat="false" ht="15.75" hidden="false" customHeight="false" outlineLevel="0" collapsed="false">
      <c r="D919" s="19"/>
      <c r="E919" s="19"/>
    </row>
    <row r="920" customFormat="false" ht="15.75" hidden="false" customHeight="false" outlineLevel="0" collapsed="false">
      <c r="D920" s="19"/>
      <c r="E920" s="19"/>
    </row>
    <row r="921" customFormat="false" ht="15.75" hidden="false" customHeight="false" outlineLevel="0" collapsed="false">
      <c r="D921" s="19"/>
      <c r="E921" s="19"/>
    </row>
    <row r="922" customFormat="false" ht="15.75" hidden="false" customHeight="false" outlineLevel="0" collapsed="false">
      <c r="D922" s="19"/>
      <c r="E922" s="19"/>
    </row>
    <row r="923" customFormat="false" ht="15.75" hidden="false" customHeight="false" outlineLevel="0" collapsed="false">
      <c r="D923" s="19"/>
      <c r="E923" s="19"/>
    </row>
    <row r="924" customFormat="false" ht="15.75" hidden="false" customHeight="false" outlineLevel="0" collapsed="false">
      <c r="D924" s="19"/>
      <c r="E924" s="19"/>
    </row>
    <row r="925" customFormat="false" ht="15.75" hidden="false" customHeight="false" outlineLevel="0" collapsed="false">
      <c r="D925" s="19"/>
      <c r="E925" s="19"/>
    </row>
    <row r="926" customFormat="false" ht="15.75" hidden="false" customHeight="false" outlineLevel="0" collapsed="false">
      <c r="D926" s="19"/>
      <c r="E926" s="19"/>
    </row>
    <row r="927" customFormat="false" ht="15.75" hidden="false" customHeight="false" outlineLevel="0" collapsed="false">
      <c r="D927" s="19"/>
      <c r="E927" s="19"/>
    </row>
    <row r="928" customFormat="false" ht="15.75" hidden="false" customHeight="false" outlineLevel="0" collapsed="false">
      <c r="D928" s="19"/>
      <c r="E928" s="19"/>
    </row>
    <row r="929" customFormat="false" ht="15.75" hidden="false" customHeight="false" outlineLevel="0" collapsed="false">
      <c r="D929" s="19"/>
      <c r="E929" s="19"/>
    </row>
    <row r="930" customFormat="false" ht="15.75" hidden="false" customHeight="false" outlineLevel="0" collapsed="false">
      <c r="D930" s="19"/>
      <c r="E930" s="19"/>
    </row>
    <row r="931" customFormat="false" ht="15.75" hidden="false" customHeight="false" outlineLevel="0" collapsed="false">
      <c r="D931" s="19"/>
      <c r="E931" s="19"/>
    </row>
    <row r="932" customFormat="false" ht="15.75" hidden="false" customHeight="false" outlineLevel="0" collapsed="false">
      <c r="D932" s="19"/>
      <c r="E932" s="19"/>
    </row>
    <row r="933" customFormat="false" ht="15.75" hidden="false" customHeight="false" outlineLevel="0" collapsed="false">
      <c r="D933" s="19"/>
      <c r="E933" s="19"/>
    </row>
    <row r="934" customFormat="false" ht="15.75" hidden="false" customHeight="false" outlineLevel="0" collapsed="false">
      <c r="D934" s="19"/>
      <c r="E934" s="19"/>
    </row>
    <row r="935" customFormat="false" ht="15.75" hidden="false" customHeight="false" outlineLevel="0" collapsed="false">
      <c r="D935" s="19"/>
      <c r="E935" s="19"/>
    </row>
    <row r="936" customFormat="false" ht="15.75" hidden="false" customHeight="false" outlineLevel="0" collapsed="false">
      <c r="D936" s="19"/>
      <c r="E936" s="19"/>
    </row>
    <row r="937" customFormat="false" ht="15.75" hidden="false" customHeight="false" outlineLevel="0" collapsed="false">
      <c r="D937" s="19"/>
      <c r="E937" s="19"/>
    </row>
    <row r="938" customFormat="false" ht="15.75" hidden="false" customHeight="false" outlineLevel="0" collapsed="false">
      <c r="D938" s="19"/>
      <c r="E938" s="19"/>
    </row>
    <row r="939" customFormat="false" ht="15.75" hidden="false" customHeight="false" outlineLevel="0" collapsed="false">
      <c r="D939" s="19"/>
      <c r="E939" s="19"/>
    </row>
    <row r="940" customFormat="false" ht="15.75" hidden="false" customHeight="false" outlineLevel="0" collapsed="false">
      <c r="D940" s="19"/>
      <c r="E940" s="19"/>
    </row>
    <row r="941" customFormat="false" ht="15.75" hidden="false" customHeight="false" outlineLevel="0" collapsed="false">
      <c r="D941" s="19"/>
      <c r="E941" s="19"/>
    </row>
    <row r="942" customFormat="false" ht="15.75" hidden="false" customHeight="false" outlineLevel="0" collapsed="false">
      <c r="D942" s="19"/>
      <c r="E942" s="19"/>
    </row>
    <row r="943" customFormat="false" ht="15.75" hidden="false" customHeight="false" outlineLevel="0" collapsed="false">
      <c r="D943" s="19"/>
      <c r="E943" s="19"/>
    </row>
    <row r="944" customFormat="false" ht="15.75" hidden="false" customHeight="false" outlineLevel="0" collapsed="false">
      <c r="D944" s="19"/>
      <c r="E944" s="19"/>
    </row>
    <row r="945" customFormat="false" ht="15.75" hidden="false" customHeight="false" outlineLevel="0" collapsed="false">
      <c r="D945" s="19"/>
      <c r="E945" s="19"/>
    </row>
    <row r="946" customFormat="false" ht="15.75" hidden="false" customHeight="false" outlineLevel="0" collapsed="false">
      <c r="D946" s="19"/>
      <c r="E946" s="19"/>
    </row>
    <row r="947" customFormat="false" ht="15.75" hidden="false" customHeight="false" outlineLevel="0" collapsed="false">
      <c r="D947" s="19"/>
      <c r="E947" s="19"/>
    </row>
    <row r="948" customFormat="false" ht="15.75" hidden="false" customHeight="false" outlineLevel="0" collapsed="false">
      <c r="D948" s="19"/>
      <c r="E948" s="19"/>
    </row>
    <row r="949" customFormat="false" ht="15.75" hidden="false" customHeight="false" outlineLevel="0" collapsed="false">
      <c r="D949" s="19"/>
      <c r="E949" s="19"/>
    </row>
    <row r="950" customFormat="false" ht="15.75" hidden="false" customHeight="false" outlineLevel="0" collapsed="false">
      <c r="D950" s="19"/>
      <c r="E950" s="19"/>
    </row>
    <row r="951" customFormat="false" ht="15.75" hidden="false" customHeight="false" outlineLevel="0" collapsed="false">
      <c r="D951" s="19"/>
      <c r="E951" s="19"/>
    </row>
    <row r="952" customFormat="false" ht="15.75" hidden="false" customHeight="false" outlineLevel="0" collapsed="false">
      <c r="D952" s="19"/>
      <c r="E952" s="19"/>
    </row>
    <row r="953" customFormat="false" ht="15.75" hidden="false" customHeight="false" outlineLevel="0" collapsed="false">
      <c r="D953" s="19"/>
      <c r="E953" s="19"/>
    </row>
    <row r="954" customFormat="false" ht="15.75" hidden="false" customHeight="false" outlineLevel="0" collapsed="false">
      <c r="D954" s="19"/>
      <c r="E954" s="19"/>
    </row>
    <row r="955" customFormat="false" ht="15.75" hidden="false" customHeight="false" outlineLevel="0" collapsed="false">
      <c r="D955" s="19"/>
      <c r="E955" s="19"/>
    </row>
    <row r="956" customFormat="false" ht="15.75" hidden="false" customHeight="false" outlineLevel="0" collapsed="false">
      <c r="D956" s="19"/>
      <c r="E956" s="19"/>
    </row>
    <row r="957" customFormat="false" ht="15.75" hidden="false" customHeight="false" outlineLevel="0" collapsed="false">
      <c r="D957" s="19"/>
      <c r="E957" s="19"/>
    </row>
    <row r="958" customFormat="false" ht="15.75" hidden="false" customHeight="false" outlineLevel="0" collapsed="false">
      <c r="D958" s="19"/>
      <c r="E958" s="19"/>
    </row>
    <row r="959" customFormat="false" ht="15.75" hidden="false" customHeight="false" outlineLevel="0" collapsed="false">
      <c r="D959" s="19"/>
      <c r="E959" s="19"/>
    </row>
    <row r="960" customFormat="false" ht="15.75" hidden="false" customHeight="false" outlineLevel="0" collapsed="false">
      <c r="D960" s="19"/>
      <c r="E960" s="19"/>
    </row>
    <row r="961" customFormat="false" ht="15.75" hidden="false" customHeight="false" outlineLevel="0" collapsed="false">
      <c r="D961" s="19"/>
      <c r="E961" s="19"/>
    </row>
    <row r="962" customFormat="false" ht="15.75" hidden="false" customHeight="false" outlineLevel="0" collapsed="false">
      <c r="D962" s="19"/>
      <c r="E962" s="19"/>
    </row>
    <row r="963" customFormat="false" ht="15.75" hidden="false" customHeight="false" outlineLevel="0" collapsed="false">
      <c r="D963" s="19"/>
      <c r="E963" s="19"/>
    </row>
    <row r="964" customFormat="false" ht="15.75" hidden="false" customHeight="false" outlineLevel="0" collapsed="false">
      <c r="D964" s="19"/>
      <c r="E964" s="19"/>
    </row>
    <row r="965" customFormat="false" ht="15.75" hidden="false" customHeight="false" outlineLevel="0" collapsed="false">
      <c r="D965" s="19"/>
      <c r="E965" s="19"/>
    </row>
    <row r="966" customFormat="false" ht="15.75" hidden="false" customHeight="false" outlineLevel="0" collapsed="false">
      <c r="D966" s="19"/>
      <c r="E966" s="19"/>
    </row>
    <row r="967" customFormat="false" ht="15.75" hidden="false" customHeight="false" outlineLevel="0" collapsed="false">
      <c r="D967" s="19"/>
      <c r="E967" s="19"/>
    </row>
    <row r="968" customFormat="false" ht="15.75" hidden="false" customHeight="false" outlineLevel="0" collapsed="false">
      <c r="D968" s="19"/>
      <c r="E968" s="19"/>
    </row>
    <row r="969" customFormat="false" ht="15.75" hidden="false" customHeight="false" outlineLevel="0" collapsed="false">
      <c r="D969" s="19"/>
      <c r="E969" s="19"/>
    </row>
    <row r="970" customFormat="false" ht="15.75" hidden="false" customHeight="false" outlineLevel="0" collapsed="false">
      <c r="D970" s="19"/>
      <c r="E970" s="19"/>
    </row>
    <row r="971" customFormat="false" ht="15.75" hidden="false" customHeight="false" outlineLevel="0" collapsed="false">
      <c r="D971" s="19"/>
      <c r="E971" s="19"/>
    </row>
    <row r="972" customFormat="false" ht="15.75" hidden="false" customHeight="false" outlineLevel="0" collapsed="false">
      <c r="D972" s="19"/>
      <c r="E972" s="19"/>
    </row>
    <row r="973" customFormat="false" ht="15.75" hidden="false" customHeight="false" outlineLevel="0" collapsed="false">
      <c r="D973" s="19"/>
      <c r="E973" s="19"/>
    </row>
    <row r="974" customFormat="false" ht="15.75" hidden="false" customHeight="false" outlineLevel="0" collapsed="false">
      <c r="D974" s="19"/>
      <c r="E974" s="19"/>
    </row>
    <row r="975" customFormat="false" ht="15.75" hidden="false" customHeight="false" outlineLevel="0" collapsed="false">
      <c r="D975" s="19"/>
      <c r="E975" s="19"/>
    </row>
    <row r="976" customFormat="false" ht="15.75" hidden="false" customHeight="false" outlineLevel="0" collapsed="false">
      <c r="D976" s="19"/>
      <c r="E976" s="19"/>
    </row>
    <row r="977" customFormat="false" ht="15.75" hidden="false" customHeight="false" outlineLevel="0" collapsed="false">
      <c r="D977" s="19"/>
      <c r="E977" s="19"/>
    </row>
    <row r="978" customFormat="false" ht="15.75" hidden="false" customHeight="false" outlineLevel="0" collapsed="false">
      <c r="D978" s="19"/>
      <c r="E978" s="19"/>
    </row>
    <row r="979" customFormat="false" ht="15.75" hidden="false" customHeight="false" outlineLevel="0" collapsed="false">
      <c r="D979" s="19"/>
      <c r="E979" s="19"/>
    </row>
    <row r="980" customFormat="false" ht="15.75" hidden="false" customHeight="false" outlineLevel="0" collapsed="false">
      <c r="D980" s="19"/>
      <c r="E980" s="19"/>
    </row>
    <row r="981" customFormat="false" ht="15.75" hidden="false" customHeight="false" outlineLevel="0" collapsed="false">
      <c r="D981" s="19"/>
      <c r="E981" s="19"/>
    </row>
    <row r="982" customFormat="false" ht="15.75" hidden="false" customHeight="false" outlineLevel="0" collapsed="false">
      <c r="D982" s="19"/>
      <c r="E982" s="19"/>
    </row>
    <row r="983" customFormat="false" ht="15.75" hidden="false" customHeight="false" outlineLevel="0" collapsed="false">
      <c r="D983" s="19"/>
      <c r="E983" s="19"/>
    </row>
    <row r="984" customFormat="false" ht="15.75" hidden="false" customHeight="false" outlineLevel="0" collapsed="false">
      <c r="D984" s="19"/>
      <c r="E984" s="19"/>
    </row>
    <row r="985" customFormat="false" ht="15.75" hidden="false" customHeight="false" outlineLevel="0" collapsed="false">
      <c r="D985" s="19"/>
      <c r="E985" s="19"/>
    </row>
    <row r="986" customFormat="false" ht="15.75" hidden="false" customHeight="false" outlineLevel="0" collapsed="false">
      <c r="D986" s="19"/>
      <c r="E986" s="19"/>
    </row>
    <row r="987" customFormat="false" ht="15.75" hidden="false" customHeight="false" outlineLevel="0" collapsed="false">
      <c r="D987" s="19"/>
      <c r="E987" s="19"/>
    </row>
    <row r="988" customFormat="false" ht="15.75" hidden="false" customHeight="false" outlineLevel="0" collapsed="false">
      <c r="D988" s="19"/>
      <c r="E988" s="19"/>
    </row>
    <row r="989" customFormat="false" ht="15.75" hidden="false" customHeight="false" outlineLevel="0" collapsed="false">
      <c r="D989" s="19"/>
      <c r="E989" s="19"/>
    </row>
    <row r="990" customFormat="false" ht="15.75" hidden="false" customHeight="false" outlineLevel="0" collapsed="false">
      <c r="D990" s="19"/>
      <c r="E990" s="19"/>
    </row>
    <row r="991" customFormat="false" ht="15.75" hidden="false" customHeight="false" outlineLevel="0" collapsed="false">
      <c r="D991" s="19"/>
      <c r="E991" s="19"/>
    </row>
    <row r="992" customFormat="false" ht="15.75" hidden="false" customHeight="false" outlineLevel="0" collapsed="false">
      <c r="D992" s="19"/>
      <c r="E992" s="19"/>
    </row>
    <row r="993" customFormat="false" ht="15.75" hidden="false" customHeight="false" outlineLevel="0" collapsed="false">
      <c r="D993" s="19"/>
      <c r="E993" s="19"/>
    </row>
    <row r="994" customFormat="false" ht="15.75" hidden="false" customHeight="false" outlineLevel="0" collapsed="false">
      <c r="D994" s="19"/>
      <c r="E994" s="19"/>
    </row>
    <row r="995" customFormat="false" ht="15.75" hidden="false" customHeight="false" outlineLevel="0" collapsed="false">
      <c r="D995" s="19"/>
      <c r="E995" s="19"/>
    </row>
    <row r="996" customFormat="false" ht="15.75" hidden="false" customHeight="false" outlineLevel="0" collapsed="false">
      <c r="D996" s="19"/>
      <c r="E996" s="19"/>
    </row>
    <row r="997" customFormat="false" ht="15.75" hidden="false" customHeight="false" outlineLevel="0" collapsed="false">
      <c r="D997" s="19"/>
      <c r="E997" s="19"/>
    </row>
    <row r="998" customFormat="false" ht="15.75" hidden="false" customHeight="false" outlineLevel="0" collapsed="false">
      <c r="D998" s="19"/>
      <c r="E998" s="19"/>
    </row>
    <row r="999" customFormat="false" ht="15.75" hidden="false" customHeight="false" outlineLevel="0" collapsed="false">
      <c r="D999" s="19"/>
      <c r="E999" s="19"/>
    </row>
    <row r="1000" customFormat="false" ht="15.75" hidden="false" customHeight="false" outlineLevel="0" collapsed="false">
      <c r="D1000" s="19"/>
      <c r="E1000" s="19"/>
    </row>
    <row r="1001" customFormat="false" ht="15.75" hidden="false" customHeight="false" outlineLevel="0" collapsed="false">
      <c r="D1001" s="19"/>
      <c r="E1001" s="19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3" min="3" style="0" width="5.57"/>
    <col collapsed="false" customWidth="true" hidden="false" outlineLevel="0" max="4" min="4" style="0" width="13.7"/>
    <col collapsed="false" customWidth="true" hidden="false" outlineLevel="0" max="5" min="5" style="0" width="41.41"/>
    <col collapsed="false" customWidth="true" hidden="false" outlineLevel="0" max="6" min="6" style="0" width="46.29"/>
    <col collapsed="false" customWidth="true" hidden="true" outlineLevel="0" max="7" min="7" style="0" width="6.29"/>
  </cols>
  <sheetData>
    <row r="1" customFormat="false" ht="15.75" hidden="false" customHeight="false" outlineLevel="0" collapsed="false">
      <c r="A1" s="0" t="s">
        <v>1</v>
      </c>
      <c r="B1" s="0" t="s">
        <v>2</v>
      </c>
      <c r="C1" s="0" t="s">
        <v>3</v>
      </c>
      <c r="D1" s="1" t="s">
        <v>736</v>
      </c>
      <c r="E1" s="1" t="s">
        <v>739</v>
      </c>
      <c r="F1" s="1" t="s">
        <v>740</v>
      </c>
      <c r="G1" s="1" t="s">
        <v>681</v>
      </c>
    </row>
    <row r="2" customFormat="false" ht="15.75" hidden="false" customHeight="false" outlineLevel="0" collapsed="false">
      <c r="A2" s="0" t="e">
        <f aca="true">INDIRECT("'Ответы на форму (1)'!B"&amp;$G2,TRUE())</f>
        <v>#REF!</v>
      </c>
      <c r="B2" s="0" t="e">
        <f aca="true">INDIRECT("'Ответы на форму (1)'!C"&amp;$G2,TRUE())</f>
        <v>#REF!</v>
      </c>
      <c r="C2" s="0" t="e">
        <f aca="true">INDIRECT("'Ответы на форму (1)'!D"&amp;$G2,TRUE())</f>
        <v>#REF!</v>
      </c>
      <c r="D2" s="0" t="n">
        <f aca="false">IFERROR(__xludf.dummyfunction("iferror(VALUE(REGEXEXTRACT(TEXT(INDIRECT(""'Ответы на форму (1)'!E""&amp;$G2,TRUE),""####""),""[0-9]+"")),INDIRECT(""'Ответы на форму (1)'!E""&amp;$G2,TRUE))"),117)</f>
        <v>117</v>
      </c>
      <c r="E2" s="0" t="e">
        <f aca="true">INDIRECT("'Ответы на форму (1)'!I"&amp;$G2,TRUE())</f>
        <v>#REF!</v>
      </c>
      <c r="F2" s="0" t="e">
        <f aca="true">INDIRECT("'Ответы на форму (1)'!J"&amp;$G2,TRUE())</f>
        <v>#REF!</v>
      </c>
      <c r="G2" s="1" t="n">
        <v>153</v>
      </c>
    </row>
    <row r="3" customFormat="false" ht="15.75" hidden="false" customHeight="false" outlineLevel="0" collapsed="false">
      <c r="A3" s="0" t="e">
        <f aca="true">INDIRECT("'Ответы на форму (1)'!B"&amp;$G3,TRUE())</f>
        <v>#REF!</v>
      </c>
      <c r="B3" s="0" t="e">
        <f aca="true">INDIRECT("'Ответы на форму (1)'!C"&amp;$G3,TRUE())</f>
        <v>#REF!</v>
      </c>
      <c r="C3" s="0" t="e">
        <f aca="true">INDIRECT("'Ответы на форму (1)'!D"&amp;$G3,TRUE())</f>
        <v>#REF!</v>
      </c>
      <c r="D3" s="0" t="n">
        <f aca="false">IFERROR(__xludf.dummyfunction("iferror(VALUE(REGEXEXTRACT(TEXT(INDIRECT(""'Ответы на форму (1)'!E""&amp;$G3,TRUE),""####""),""[0-9]+"")),INDIRECT(""'Ответы на форму (1)'!E""&amp;$G3,TRUE))"),66)</f>
        <v>66</v>
      </c>
      <c r="E3" s="0" t="e">
        <f aca="true">INDIRECT("'Ответы на форму (1)'!I"&amp;$G3,TRUE())</f>
        <v>#REF!</v>
      </c>
      <c r="F3" s="0" t="e">
        <f aca="true">INDIRECT("'Ответы на форму (1)'!J"&amp;$G3,TRUE())</f>
        <v>#REF!</v>
      </c>
      <c r="G3" s="1" t="n">
        <v>36</v>
      </c>
    </row>
    <row r="4" customFormat="false" ht="15.75" hidden="false" customHeight="false" outlineLevel="0" collapsed="false">
      <c r="A4" s="0" t="e">
        <f aca="true">INDIRECT("'Ответы на форму (1)'!B"&amp;$G4,TRUE())</f>
        <v>#REF!</v>
      </c>
      <c r="B4" s="0" t="e">
        <f aca="true">INDIRECT("'Ответы на форму (1)'!C"&amp;$G4,TRUE())</f>
        <v>#REF!</v>
      </c>
      <c r="C4" s="0" t="e">
        <f aca="true">INDIRECT("'Ответы на форму (1)'!D"&amp;$G4,TRUE())</f>
        <v>#REF!</v>
      </c>
      <c r="D4" s="0" t="n">
        <f aca="false">IFERROR(__xludf.dummyfunction("iferror(VALUE(REGEXEXTRACT(TEXT(INDIRECT(""'Ответы на форму (1)'!E""&amp;$G4,TRUE),""####""),""[0-9]+"")),INDIRECT(""'Ответы на форму (1)'!E""&amp;$G4,TRUE))"),117)</f>
        <v>117</v>
      </c>
      <c r="E4" s="0" t="e">
        <f aca="true">INDIRECT("'Ответы на форму (1)'!I"&amp;$G4,TRUE())</f>
        <v>#REF!</v>
      </c>
      <c r="F4" s="0" t="e">
        <f aca="true">INDIRECT("'Ответы на форму (1)'!J"&amp;$G4,TRUE())</f>
        <v>#REF!</v>
      </c>
      <c r="G4" s="1" t="n">
        <v>12</v>
      </c>
    </row>
    <row r="5" customFormat="false" ht="15.75" hidden="false" customHeight="false" outlineLevel="0" collapsed="false">
      <c r="A5" s="0" t="e">
        <f aca="true">INDIRECT("'Ответы на форму (1)'!B"&amp;$G5,TRUE())</f>
        <v>#REF!</v>
      </c>
      <c r="B5" s="0" t="e">
        <f aca="true">INDIRECT("'Ответы на форму (1)'!C"&amp;$G5,TRUE())</f>
        <v>#REF!</v>
      </c>
      <c r="C5" s="0" t="e">
        <f aca="true">INDIRECT("'Ответы на форму (1)'!D"&amp;$G5,TRUE())</f>
        <v>#REF!</v>
      </c>
      <c r="D5" s="0" t="n">
        <f aca="false">IFERROR(__xludf.dummyfunction("iferror(VALUE(REGEXEXTRACT(TEXT(INDIRECT(""'Ответы на форму (1)'!E""&amp;$G5,TRUE),""####""),""[0-9]+"")),INDIRECT(""'Ответы на форму (1)'!E""&amp;$G5,TRUE))"),117)</f>
        <v>117</v>
      </c>
      <c r="E5" s="0" t="e">
        <f aca="true">INDIRECT("'Ответы на форму (1)'!I"&amp;$G5,TRUE())</f>
        <v>#REF!</v>
      </c>
      <c r="F5" s="0" t="e">
        <f aca="true">INDIRECT("'Ответы на форму (1)'!J"&amp;$G5,TRUE())</f>
        <v>#REF!</v>
      </c>
      <c r="G5" s="1" t="n">
        <v>78</v>
      </c>
    </row>
    <row r="6" customFormat="false" ht="15.75" hidden="false" customHeight="false" outlineLevel="0" collapsed="false">
      <c r="A6" s="0" t="e">
        <f aca="true">INDIRECT("'Ответы на форму (1)'!B"&amp;$G6,TRUE())</f>
        <v>#REF!</v>
      </c>
      <c r="B6" s="0" t="e">
        <f aca="true">INDIRECT("'Ответы на форму (1)'!C"&amp;$G6,TRUE())</f>
        <v>#REF!</v>
      </c>
      <c r="C6" s="0" t="e">
        <f aca="true">INDIRECT("'Ответы на форму (1)'!D"&amp;$G6,TRUE())</f>
        <v>#REF!</v>
      </c>
      <c r="D6" s="0" t="n">
        <f aca="false">IFERROR(__xludf.dummyfunction("iferror(VALUE(REGEXEXTRACT(TEXT(INDIRECT(""'Ответы на форму (1)'!E""&amp;$G6,TRUE),""####""),""[0-9]+"")),INDIRECT(""'Ответы на форму (1)'!E""&amp;$G6,TRUE))"),117)</f>
        <v>117</v>
      </c>
      <c r="E6" s="0" t="e">
        <f aca="true">INDIRECT("'Ответы на форму (1)'!I"&amp;$G6,TRUE())</f>
        <v>#REF!</v>
      </c>
      <c r="F6" s="0" t="e">
        <f aca="true">INDIRECT("'Ответы на форму (1)'!J"&amp;$G6,TRUE())</f>
        <v>#REF!</v>
      </c>
      <c r="G6" s="1" t="n">
        <v>133</v>
      </c>
    </row>
    <row r="7" customFormat="false" ht="15.75" hidden="false" customHeight="false" outlineLevel="0" collapsed="false">
      <c r="A7" s="0" t="e">
        <f aca="true">INDIRECT("'Ответы на форму (1)'!B"&amp;$G7,TRUE())</f>
        <v>#REF!</v>
      </c>
      <c r="B7" s="0" t="e">
        <f aca="true">INDIRECT("'Ответы на форму (1)'!C"&amp;$G7,TRUE())</f>
        <v>#REF!</v>
      </c>
      <c r="C7" s="0" t="e">
        <f aca="true">INDIRECT("'Ответы на форму (1)'!D"&amp;$G7,TRUE())</f>
        <v>#REF!</v>
      </c>
      <c r="D7" s="0" t="n">
        <f aca="false">IFERROR(__xludf.dummyfunction("iferror(VALUE(REGEXEXTRACT(TEXT(INDIRECT(""'Ответы на форму (1)'!E""&amp;$G7,TRUE),""####""),""[0-9]+"")),INDIRECT(""'Ответы на форму (1)'!E""&amp;$G7,TRUE))"),64)</f>
        <v>64</v>
      </c>
      <c r="E7" s="0" t="e">
        <f aca="true">INDIRECT("'Ответы на форму (1)'!I"&amp;$G7,TRUE())</f>
        <v>#REF!</v>
      </c>
      <c r="F7" s="0" t="e">
        <f aca="true">INDIRECT("'Ответы на форму (1)'!J"&amp;$G7,TRUE())</f>
        <v>#REF!</v>
      </c>
      <c r="G7" s="1" t="n">
        <v>81</v>
      </c>
    </row>
    <row r="8" customFormat="false" ht="15.75" hidden="false" customHeight="false" outlineLevel="0" collapsed="false">
      <c r="A8" s="0" t="e">
        <f aca="true">INDIRECT("'Ответы на форму (1)'!B"&amp;$G8,TRUE())</f>
        <v>#REF!</v>
      </c>
      <c r="B8" s="0" t="e">
        <f aca="true">INDIRECT("'Ответы на форму (1)'!C"&amp;$G8,TRUE())</f>
        <v>#REF!</v>
      </c>
      <c r="C8" s="0" t="e">
        <f aca="true">INDIRECT("'Ответы на форму (1)'!D"&amp;$G8,TRUE())</f>
        <v>#REF!</v>
      </c>
      <c r="D8" s="0" t="n">
        <f aca="false">IFERROR(__xludf.dummyfunction("iferror(VALUE(REGEXEXTRACT(TEXT(INDIRECT(""'Ответы на форму (1)'!E""&amp;$G8,TRUE),""####""),""[0-9]+"")),INDIRECT(""'Ответы на форму (1)'!E""&amp;$G8,TRUE))"),64)</f>
        <v>64</v>
      </c>
      <c r="E8" s="0" t="e">
        <f aca="true">INDIRECT("'Ответы на форму (1)'!I"&amp;$G8,TRUE())</f>
        <v>#REF!</v>
      </c>
      <c r="F8" s="0" t="e">
        <f aca="true">INDIRECT("'Ответы на форму (1)'!J"&amp;$G8,TRUE())</f>
        <v>#REF!</v>
      </c>
      <c r="G8" s="1" t="n">
        <v>145</v>
      </c>
    </row>
    <row r="9" customFormat="false" ht="15.75" hidden="false" customHeight="false" outlineLevel="0" collapsed="false">
      <c r="A9" s="0" t="e">
        <f aca="true">INDIRECT("'Ответы на форму (1)'!B"&amp;$G9,TRUE())</f>
        <v>#REF!</v>
      </c>
      <c r="B9" s="0" t="e">
        <f aca="true">INDIRECT("'Ответы на форму (1)'!C"&amp;$G9,TRUE())</f>
        <v>#REF!</v>
      </c>
      <c r="C9" s="0" t="e">
        <f aca="true">INDIRECT("'Ответы на форму (1)'!D"&amp;$G9,TRUE())</f>
        <v>#REF!</v>
      </c>
      <c r="D9" s="0" t="n">
        <f aca="false">IFERROR(__xludf.dummyfunction("iferror(VALUE(REGEXEXTRACT(TEXT(INDIRECT(""'Ответы на форму (1)'!E""&amp;$G9,TRUE),""####""),""[0-9]+"")),INDIRECT(""'Ответы на форму (1)'!E""&amp;$G9,TRUE))"),117)</f>
        <v>117</v>
      </c>
      <c r="E9" s="0" t="e">
        <f aca="true">INDIRECT("'Ответы на форму (1)'!I"&amp;$G9,TRUE())</f>
        <v>#REF!</v>
      </c>
      <c r="F9" s="0" t="e">
        <f aca="true">INDIRECT("'Ответы на форму (1)'!J"&amp;$G9,TRUE())</f>
        <v>#REF!</v>
      </c>
      <c r="G9" s="1" t="n">
        <v>147</v>
      </c>
    </row>
    <row r="10" customFormat="false" ht="15.75" hidden="false" customHeight="false" outlineLevel="0" collapsed="false">
      <c r="A10" s="0" t="e">
        <f aca="true">INDIRECT("'Ответы на форму (1)'!B"&amp;$G10,TRUE())</f>
        <v>#REF!</v>
      </c>
      <c r="B10" s="0" t="e">
        <f aca="true">INDIRECT("'Ответы на форму (1)'!C"&amp;$G10,TRUE())</f>
        <v>#REF!</v>
      </c>
      <c r="C10" s="0" t="e">
        <f aca="true">INDIRECT("'Ответы на форму (1)'!D"&amp;$G10,TRUE())</f>
        <v>#REF!</v>
      </c>
      <c r="D10" s="0" t="n">
        <f aca="false">IFERROR(__xludf.dummyfunction("iferror(VALUE(REGEXEXTRACT(TEXT(INDIRECT(""'Ответы на форму (1)'!E""&amp;$G10,TRUE),""####""),""[0-9]+"")),INDIRECT(""'Ответы на форму (1)'!E""&amp;$G10,TRUE))"),117)</f>
        <v>117</v>
      </c>
      <c r="E10" s="0" t="e">
        <f aca="true">INDIRECT("'Ответы на форму (1)'!I"&amp;$G10,TRUE())</f>
        <v>#REF!</v>
      </c>
      <c r="F10" s="0" t="e">
        <f aca="true">INDIRECT("'Ответы на форму (1)'!J"&amp;$G10,TRUE())</f>
        <v>#REF!</v>
      </c>
      <c r="G10" s="1" t="n">
        <v>101</v>
      </c>
    </row>
    <row r="11" customFormat="false" ht="15.75" hidden="false" customHeight="false" outlineLevel="0" collapsed="false">
      <c r="A11" s="0" t="e">
        <f aca="true">INDIRECT("'Ответы на форму (1)'!B"&amp;$G11,TRUE())</f>
        <v>#REF!</v>
      </c>
      <c r="B11" s="0" t="e">
        <f aca="true">INDIRECT("'Ответы на форму (1)'!C"&amp;$G11,TRUE())</f>
        <v>#REF!</v>
      </c>
      <c r="C11" s="0" t="e">
        <f aca="true">INDIRECT("'Ответы на форму (1)'!D"&amp;$G11,TRUE())</f>
        <v>#REF!</v>
      </c>
      <c r="D11" s="0" t="n">
        <f aca="false">IFERROR(__xludf.dummyfunction("iferror(VALUE(REGEXEXTRACT(TEXT(INDIRECT(""'Ответы на форму (1)'!E""&amp;$G11,TRUE),""####""),""[0-9]+"")),INDIRECT(""'Ответы на форму (1)'!E""&amp;$G11,TRUE))"),19)</f>
        <v>19</v>
      </c>
      <c r="E11" s="0" t="e">
        <f aca="true">INDIRECT("'Ответы на форму (1)'!I"&amp;$G11,TRUE())</f>
        <v>#REF!</v>
      </c>
      <c r="F11" s="0" t="e">
        <f aca="true">INDIRECT("'Ответы на форму (1)'!J"&amp;$G11,TRUE())</f>
        <v>#REF!</v>
      </c>
      <c r="G11" s="1" t="n">
        <v>97</v>
      </c>
    </row>
    <row r="12" customFormat="false" ht="15.75" hidden="false" customHeight="false" outlineLevel="0" collapsed="false">
      <c r="A12" s="0" t="e">
        <f aca="true">INDIRECT("'Ответы на форму (1)'!B"&amp;$G12,TRUE())</f>
        <v>#REF!</v>
      </c>
      <c r="B12" s="0" t="e">
        <f aca="true">INDIRECT("'Ответы на форму (1)'!C"&amp;$G12,TRUE())</f>
        <v>#REF!</v>
      </c>
      <c r="C12" s="0" t="e">
        <f aca="true">INDIRECT("'Ответы на форму (1)'!D"&amp;$G12,TRUE())</f>
        <v>#REF!</v>
      </c>
      <c r="D12" s="0" t="n">
        <f aca="false">IFERROR(__xludf.dummyfunction("iferror(VALUE(REGEXEXTRACT(TEXT(INDIRECT(""'Ответы на форму (1)'!E""&amp;$G12,TRUE),""####""),""[0-9]+"")),INDIRECT(""'Ответы на форму (1)'!E""&amp;$G12,TRUE))"),123)</f>
        <v>123</v>
      </c>
      <c r="E12" s="0" t="e">
        <f aca="true">INDIRECT("'Ответы на форму (1)'!I"&amp;$G12,TRUE())</f>
        <v>#REF!</v>
      </c>
      <c r="F12" s="0" t="e">
        <f aca="true">INDIRECT("'Ответы на форму (1)'!J"&amp;$G12,TRUE())</f>
        <v>#REF!</v>
      </c>
      <c r="G12" s="1" t="n">
        <v>105</v>
      </c>
    </row>
    <row r="13" customFormat="false" ht="15.75" hidden="false" customHeight="false" outlineLevel="0" collapsed="false">
      <c r="A13" s="1" t="s">
        <v>732</v>
      </c>
      <c r="B13" s="1" t="s">
        <v>593</v>
      </c>
      <c r="C13" s="1" t="n">
        <v>7</v>
      </c>
      <c r="D13" s="1" t="n">
        <v>117</v>
      </c>
      <c r="E13" s="1" t="s">
        <v>40</v>
      </c>
      <c r="F13" s="1" t="s">
        <v>85</v>
      </c>
      <c r="G13" s="1" t="n">
        <v>176</v>
      </c>
    </row>
    <row r="14" customFormat="false" ht="15.75" hidden="false" customHeight="false" outlineLevel="0" collapsed="false">
      <c r="A14" s="1" t="s">
        <v>713</v>
      </c>
      <c r="B14" s="1" t="s">
        <v>714</v>
      </c>
      <c r="C14" s="1" t="n">
        <v>9</v>
      </c>
      <c r="D14" s="1" t="n">
        <v>117</v>
      </c>
      <c r="E14" s="1" t="s">
        <v>50</v>
      </c>
      <c r="F14" s="1" t="s">
        <v>40</v>
      </c>
      <c r="G14" s="1" t="n">
        <v>191</v>
      </c>
    </row>
    <row r="15" customFormat="false" ht="15.75" hidden="false" customHeight="false" outlineLevel="0" collapsed="false">
      <c r="A15" s="0" t="e">
        <f aca="true">INDIRECT("'Ответы на форму (1)'!B"&amp;$G15,TRUE())</f>
        <v>#REF!</v>
      </c>
      <c r="B15" s="0" t="e">
        <f aca="true">INDIRECT("'Ответы на форму (1)'!C"&amp;$G15,TRUE())</f>
        <v>#REF!</v>
      </c>
      <c r="C15" s="0" t="e">
        <f aca="true">INDIRECT("'Ответы на форму (1)'!D"&amp;$G15,TRUE())</f>
        <v>#REF!</v>
      </c>
      <c r="D15" s="0" t="n">
        <f aca="false">IFERROR(__xludf.dummyfunction("iferror(VALUE(REGEXEXTRACT(TEXT(INDIRECT(""'Ответы на форму (1)'!E""&amp;$G15,TRUE),""####""),""[0-9]+"")),INDIRECT(""'Ответы на форму (1)'!E""&amp;$G15,TRUE))"),117)</f>
        <v>117</v>
      </c>
      <c r="E15" s="0" t="e">
        <f aca="true">INDIRECT("'Ответы на форму (1)'!I"&amp;$G15,TRUE())</f>
        <v>#REF!</v>
      </c>
      <c r="F15" s="0" t="e">
        <f aca="true">INDIRECT("'Ответы на форму (1)'!J"&amp;$G15,TRUE())</f>
        <v>#REF!</v>
      </c>
      <c r="G15" s="1" t="n">
        <v>5</v>
      </c>
    </row>
    <row r="16" customFormat="false" ht="15.75" hidden="false" customHeight="false" outlineLevel="0" collapsed="false">
      <c r="A16" s="0" t="e">
        <f aca="true">INDIRECT("'Ответы на форму (1)'!B"&amp;$G16,TRUE())</f>
        <v>#REF!</v>
      </c>
      <c r="B16" s="0" t="e">
        <f aca="true">INDIRECT("'Ответы на форму (1)'!C"&amp;$G16,TRUE())</f>
        <v>#REF!</v>
      </c>
      <c r="C16" s="0" t="e">
        <f aca="true">INDIRECT("'Ответы на форму (1)'!D"&amp;$G16,TRUE())</f>
        <v>#REF!</v>
      </c>
      <c r="D16" s="0" t="n">
        <f aca="false">IFERROR(__xludf.dummyfunction("iferror(VALUE(REGEXEXTRACT(TEXT(INDIRECT(""'Ответы на форму (1)'!E""&amp;$G16,TRUE),""####""),""[0-9]+"")),INDIRECT(""'Ответы на форму (1)'!E""&amp;$G16,TRUE))"),117)</f>
        <v>117</v>
      </c>
      <c r="E16" s="0" t="e">
        <f aca="true">INDIRECT("'Ответы на форму (1)'!I"&amp;$G16,TRUE())</f>
        <v>#REF!</v>
      </c>
      <c r="F16" s="0" t="e">
        <f aca="true">INDIRECT("'Ответы на форму (1)'!J"&amp;$G16,TRUE())</f>
        <v>#REF!</v>
      </c>
      <c r="G16" s="1" t="n">
        <v>57</v>
      </c>
    </row>
    <row r="17" customFormat="false" ht="15.75" hidden="false" customHeight="false" outlineLevel="0" collapsed="false">
      <c r="A17" s="0" t="e">
        <f aca="true">INDIRECT("'Ответы на форму (1)'!B"&amp;$G17,TRUE())</f>
        <v>#REF!</v>
      </c>
      <c r="B17" s="0" t="e">
        <f aca="true">INDIRECT("'Ответы на форму (1)'!C"&amp;$G17,TRUE())</f>
        <v>#REF!</v>
      </c>
      <c r="C17" s="0" t="e">
        <f aca="true">INDIRECT("'Ответы на форму (1)'!D"&amp;$G17,TRUE())</f>
        <v>#REF!</v>
      </c>
      <c r="D17" s="0" t="n">
        <f aca="false">IFERROR(__xludf.dummyfunction("iferror(VALUE(REGEXEXTRACT(TEXT(INDIRECT(""'Ответы на форму (1)'!E""&amp;$G17,TRUE),""####""),""[0-9]+"")),INDIRECT(""'Ответы на форму (1)'!E""&amp;$G17,TRUE))"),139)</f>
        <v>139</v>
      </c>
      <c r="E17" s="0" t="e">
        <f aca="true">INDIRECT("'Ответы на форму (1)'!I"&amp;$G17,TRUE())</f>
        <v>#REF!</v>
      </c>
      <c r="F17" s="0" t="e">
        <f aca="true">INDIRECT("'Ответы на форму (1)'!J"&amp;$G17,TRUE())</f>
        <v>#REF!</v>
      </c>
      <c r="G17" s="1" t="n">
        <v>114</v>
      </c>
    </row>
    <row r="18" customFormat="false" ht="15.75" hidden="false" customHeight="false" outlineLevel="0" collapsed="false">
      <c r="A18" s="0" t="e">
        <f aca="true">INDIRECT("'Ответы на форму (1)'!B"&amp;$G18,TRUE())</f>
        <v>#REF!</v>
      </c>
      <c r="B18" s="0" t="e">
        <f aca="true">INDIRECT("'Ответы на форму (1)'!C"&amp;$G18,TRUE())</f>
        <v>#REF!</v>
      </c>
      <c r="C18" s="0" t="e">
        <f aca="true">INDIRECT("'Ответы на форму (1)'!D"&amp;$G18,TRUE())</f>
        <v>#REF!</v>
      </c>
      <c r="D18" s="0" t="n">
        <f aca="false">IFERROR(__xludf.dummyfunction("iferror(VALUE(REGEXEXTRACT(TEXT(INDIRECT(""'Ответы на форму (1)'!E""&amp;$G18,TRUE),""####""),""[0-9]+"")),INDIRECT(""'Ответы на форму (1)'!E""&amp;$G18,TRUE))"),117)</f>
        <v>117</v>
      </c>
      <c r="E18" s="0" t="e">
        <f aca="true">INDIRECT("'Ответы на форму (1)'!I"&amp;$G18,TRUE())</f>
        <v>#REF!</v>
      </c>
      <c r="F18" s="0" t="e">
        <f aca="true">INDIRECT("'Ответы на форму (1)'!J"&amp;$G18,TRUE())</f>
        <v>#REF!</v>
      </c>
      <c r="G18" s="1" t="n">
        <v>159</v>
      </c>
    </row>
    <row r="19" customFormat="false" ht="15.75" hidden="false" customHeight="false" outlineLevel="0" collapsed="false">
      <c r="A19" s="1" t="s">
        <v>627</v>
      </c>
      <c r="B19" s="1" t="s">
        <v>628</v>
      </c>
      <c r="C19" s="1" t="n">
        <v>9</v>
      </c>
      <c r="D19" s="1" t="n">
        <v>117</v>
      </c>
      <c r="E19" s="1" t="s">
        <v>22</v>
      </c>
      <c r="F19" s="1" t="s">
        <v>40</v>
      </c>
      <c r="G19" s="1" t="n">
        <v>189</v>
      </c>
    </row>
    <row r="20" customFormat="false" ht="15.75" hidden="false" customHeight="false" outlineLevel="0" collapsed="false">
      <c r="A20" s="0" t="e">
        <f aca="true">INDIRECT("'Ответы на форму (1)'!B"&amp;$G20,TRUE())</f>
        <v>#REF!</v>
      </c>
      <c r="B20" s="0" t="e">
        <f aca="true">INDIRECT("'Ответы на форму (1)'!C"&amp;$G20,TRUE())</f>
        <v>#REF!</v>
      </c>
      <c r="C20" s="0" t="e">
        <f aca="true">INDIRECT("'Ответы на форму (1)'!D"&amp;$G20,TRUE())</f>
        <v>#REF!</v>
      </c>
      <c r="D20" s="0" t="n">
        <f aca="false">IFERROR(__xludf.dummyfunction("iferror(VALUE(REGEXEXTRACT(TEXT(INDIRECT(""'Ответы на форму (1)'!E""&amp;$G20,TRUE),""####""),""[0-9]+"")),INDIRECT(""'Ответы на форму (1)'!E""&amp;$G20,TRUE))"),117)</f>
        <v>117</v>
      </c>
      <c r="E20" s="0" t="e">
        <f aca="true">INDIRECT("'Ответы на форму (1)'!I"&amp;$G20,TRUE())</f>
        <v>#REF!</v>
      </c>
      <c r="F20" s="0" t="e">
        <f aca="true">INDIRECT("'Ответы на форму (1)'!J"&amp;$G20,TRUE())</f>
        <v>#REF!</v>
      </c>
      <c r="G20" s="1" t="n">
        <v>111</v>
      </c>
    </row>
    <row r="21" customFormat="false" ht="15.75" hidden="false" customHeight="false" outlineLevel="0" collapsed="false">
      <c r="A21" s="0" t="e">
        <f aca="true">INDIRECT("'Ответы на форму (1)'!B"&amp;$G21,TRUE())</f>
        <v>#REF!</v>
      </c>
      <c r="B21" s="0" t="e">
        <f aca="true">INDIRECT("'Ответы на форму (1)'!C"&amp;$G21,TRUE())</f>
        <v>#REF!</v>
      </c>
      <c r="C21" s="0" t="e">
        <f aca="true">INDIRECT("'Ответы на форму (1)'!D"&amp;$G21,TRUE())</f>
        <v>#REF!</v>
      </c>
      <c r="D21" s="0" t="n">
        <f aca="false">IFERROR(__xludf.dummyfunction("iferror(VALUE(REGEXEXTRACT(TEXT(INDIRECT(""'Ответы на форму (1)'!E""&amp;$G21,TRUE),""####""),""[0-9]+"")),INDIRECT(""'Ответы на форму (1)'!E""&amp;$G21,TRUE))"),166)</f>
        <v>166</v>
      </c>
      <c r="E21" s="0" t="e">
        <f aca="true">INDIRECT("'Ответы на форму (1)'!I"&amp;$G21,TRUE())</f>
        <v>#REF!</v>
      </c>
      <c r="F21" s="0" t="e">
        <f aca="true">INDIRECT("'Ответы на форму (1)'!J"&amp;$G21,TRUE())</f>
        <v>#REF!</v>
      </c>
      <c r="G21" s="1" t="n">
        <v>107</v>
      </c>
    </row>
    <row r="22" customFormat="false" ht="15.75" hidden="false" customHeight="false" outlineLevel="0" collapsed="false">
      <c r="A22" s="0" t="e">
        <f aca="true">INDIRECT("'Ответы на форму (1)'!B"&amp;$G22,TRUE())</f>
        <v>#REF!</v>
      </c>
      <c r="B22" s="0" t="e">
        <f aca="true">INDIRECT("'Ответы на форму (1)'!C"&amp;$G22,TRUE())</f>
        <v>#REF!</v>
      </c>
      <c r="C22" s="0" t="e">
        <f aca="true">INDIRECT("'Ответы на форму (1)'!D"&amp;$G22,TRUE())</f>
        <v>#REF!</v>
      </c>
      <c r="D22" s="0" t="n">
        <f aca="false">IFERROR(__xludf.dummyfunction("iferror(VALUE(REGEXEXTRACT(TEXT(INDIRECT(""'Ответы на форму (1)'!E""&amp;$G22,TRUE),""####""),""[0-9]+"")),INDIRECT(""'Ответы на форму (1)'!E""&amp;$G22,TRUE))"),117)</f>
        <v>117</v>
      </c>
      <c r="E22" s="0" t="e">
        <f aca="true">INDIRECT("'Ответы на форму (1)'!I"&amp;$G22,TRUE())</f>
        <v>#REF!</v>
      </c>
      <c r="F22" s="0" t="e">
        <f aca="true">INDIRECT("'Ответы на форму (1)'!J"&amp;$G22,TRUE())</f>
        <v>#REF!</v>
      </c>
      <c r="G22" s="1" t="n">
        <v>15</v>
      </c>
    </row>
    <row r="23" customFormat="false" ht="15.75" hidden="false" customHeight="false" outlineLevel="0" collapsed="false">
      <c r="A23" s="0" t="e">
        <f aca="true">INDIRECT("'Ответы на форму (1)'!B"&amp;$G23,TRUE())</f>
        <v>#REF!</v>
      </c>
      <c r="B23" s="0" t="e">
        <f aca="true">INDIRECT("'Ответы на форму (1)'!C"&amp;$G23,TRUE())</f>
        <v>#REF!</v>
      </c>
      <c r="C23" s="0" t="e">
        <f aca="true">INDIRECT("'Ответы на форму (1)'!D"&amp;$G23,TRUE())</f>
        <v>#REF!</v>
      </c>
      <c r="D23" s="0" t="n">
        <f aca="false">IFERROR(__xludf.dummyfunction("iferror(VALUE(REGEXEXTRACT(TEXT(INDIRECT(""'Ответы на форму (1)'!E""&amp;$G23,TRUE),""####""),""[0-9]+"")),INDIRECT(""'Ответы на форму (1)'!E""&amp;$G23,TRUE))"),64)</f>
        <v>64</v>
      </c>
      <c r="E23" s="0" t="e">
        <f aca="true">INDIRECT("'Ответы на форму (1)'!I"&amp;$G23,TRUE())</f>
        <v>#REF!</v>
      </c>
      <c r="F23" s="0" t="e">
        <f aca="true">INDIRECT("'Ответы на форму (1)'!J"&amp;$G23,TRUE())</f>
        <v>#REF!</v>
      </c>
      <c r="G23" s="1" t="n">
        <v>89</v>
      </c>
    </row>
    <row r="24" customFormat="false" ht="15.75" hidden="false" customHeight="false" outlineLevel="0" collapsed="false">
      <c r="A24" s="0" t="e">
        <f aca="true">INDIRECT("'Ответы на форму (1)'!B"&amp;$G24,TRUE())</f>
        <v>#REF!</v>
      </c>
      <c r="B24" s="0" t="e">
        <f aca="true">INDIRECT("'Ответы на форму (1)'!C"&amp;$G24,TRUE())</f>
        <v>#REF!</v>
      </c>
      <c r="C24" s="0" t="e">
        <f aca="true">INDIRECT("'Ответы на форму (1)'!D"&amp;$G24,TRUE())</f>
        <v>#REF!</v>
      </c>
      <c r="D24" s="0" t="n">
        <f aca="false">IFERROR(__xludf.dummyfunction("iferror(VALUE(REGEXEXTRACT(TEXT(INDIRECT(""'Ответы на форму (1)'!E""&amp;$G24,TRUE),""####""),""[0-9]+"")),INDIRECT(""'Ответы на форму (1)'!E""&amp;$G24,TRUE))"),117)</f>
        <v>117</v>
      </c>
      <c r="E24" s="0" t="e">
        <f aca="true">INDIRECT("'Ответы на форму (1)'!I"&amp;$G24,TRUE())</f>
        <v>#REF!</v>
      </c>
      <c r="F24" s="0" t="e">
        <f aca="true">INDIRECT("'Ответы на форму (1)'!J"&amp;$G24,TRUE())</f>
        <v>#REF!</v>
      </c>
      <c r="G24" s="1" t="n">
        <v>104</v>
      </c>
    </row>
    <row r="25" customFormat="false" ht="15.75" hidden="false" customHeight="false" outlineLevel="0" collapsed="false">
      <c r="A25" s="0" t="e">
        <f aca="true">INDIRECT("'Ответы на форму (1)'!B"&amp;$G25,TRUE())</f>
        <v>#REF!</v>
      </c>
      <c r="B25" s="0" t="e">
        <f aca="true">INDIRECT("'Ответы на форму (1)'!C"&amp;$G25,TRUE())</f>
        <v>#REF!</v>
      </c>
      <c r="C25" s="0" t="e">
        <f aca="true">INDIRECT("'Ответы на форму (1)'!D"&amp;$G25,TRUE())</f>
        <v>#REF!</v>
      </c>
      <c r="D25" s="0" t="n">
        <f aca="false">IFERROR(__xludf.dummyfunction("iferror(VALUE(REGEXEXTRACT(TEXT(INDIRECT(""'Ответы на форму (1)'!E""&amp;$G25,TRUE),""####""),""[0-9]+"")),INDIRECT(""'Ответы на форму (1)'!E""&amp;$G25,TRUE))"),117)</f>
        <v>117</v>
      </c>
      <c r="E25" s="0" t="e">
        <f aca="true">INDIRECT("'Ответы на форму (1)'!I"&amp;$G25,TRUE())</f>
        <v>#REF!</v>
      </c>
      <c r="F25" s="0" t="e">
        <f aca="true">INDIRECT("'Ответы на форму (1)'!J"&amp;$G25,TRUE())</f>
        <v>#REF!</v>
      </c>
      <c r="G25" s="1" t="n">
        <v>4</v>
      </c>
    </row>
    <row r="26" customFormat="false" ht="15.75" hidden="false" customHeight="false" outlineLevel="0" collapsed="false">
      <c r="A26" s="0" t="e">
        <f aca="true">INDIRECT("'Ответы на форму (1)'!B"&amp;$G26,TRUE())</f>
        <v>#REF!</v>
      </c>
      <c r="B26" s="0" t="e">
        <f aca="true">INDIRECT("'Ответы на форму (1)'!C"&amp;$G26,TRUE())</f>
        <v>#REF!</v>
      </c>
      <c r="C26" s="0" t="e">
        <f aca="true">INDIRECT("'Ответы на форму (1)'!D"&amp;$G26,TRUE())</f>
        <v>#REF!</v>
      </c>
      <c r="D26" s="0" t="n">
        <f aca="false">IFERROR(__xludf.dummyfunction("iferror(VALUE(REGEXEXTRACT(TEXT(INDIRECT(""'Ответы на форму (1)'!E""&amp;$G26,TRUE),""####""),""[0-9]+"")),INDIRECT(""'Ответы на форму (1)'!E""&amp;$G26,TRUE))"),149)</f>
        <v>149</v>
      </c>
      <c r="E26" s="0" t="e">
        <f aca="true">INDIRECT("'Ответы на форму (1)'!I"&amp;$G26,TRUE())</f>
        <v>#REF!</v>
      </c>
      <c r="F26" s="0" t="e">
        <f aca="true">INDIRECT("'Ответы на форму (1)'!J"&amp;$G26,TRUE())</f>
        <v>#REF!</v>
      </c>
      <c r="G26" s="1" t="n">
        <v>24</v>
      </c>
    </row>
    <row r="27" customFormat="false" ht="15.75" hidden="false" customHeight="false" outlineLevel="0" collapsed="false">
      <c r="A27" s="0" t="e">
        <f aca="true">INDIRECT("'Ответы на форму (1)'!B"&amp;$G27,TRUE())</f>
        <v>#REF!</v>
      </c>
      <c r="B27" s="0" t="e">
        <f aca="true">INDIRECT("'Ответы на форму (1)'!C"&amp;$G27,TRUE())</f>
        <v>#REF!</v>
      </c>
      <c r="C27" s="0" t="e">
        <f aca="true">INDIRECT("'Ответы на форму (1)'!D"&amp;$G27,TRUE())</f>
        <v>#REF!</v>
      </c>
      <c r="D27" s="0" t="n">
        <f aca="false">IFERROR(__xludf.dummyfunction("iferror(VALUE(REGEXEXTRACT(TEXT(INDIRECT(""'Ответы на форму (1)'!E""&amp;$G27,TRUE),""####""),""[0-9]+"")),INDIRECT(""'Ответы на форму (1)'!E""&amp;$G27,TRUE))"),64)</f>
        <v>64</v>
      </c>
      <c r="E27" s="0" t="e">
        <f aca="true">INDIRECT("'Ответы на форму (1)'!I"&amp;$G27,TRUE())</f>
        <v>#REF!</v>
      </c>
      <c r="F27" s="0" t="e">
        <f aca="true">INDIRECT("'Ответы на форму (1)'!J"&amp;$G27,TRUE())</f>
        <v>#REF!</v>
      </c>
      <c r="G27" s="1" t="n">
        <v>21</v>
      </c>
    </row>
    <row r="28" customFormat="false" ht="15.75" hidden="false" customHeight="false" outlineLevel="0" collapsed="false">
      <c r="A28" s="0" t="e">
        <f aca="true">INDIRECT("'Ответы на форму (1)'!B"&amp;$G28,TRUE())</f>
        <v>#REF!</v>
      </c>
      <c r="B28" s="0" t="e">
        <f aca="true">INDIRECT("'Ответы на форму (1)'!C"&amp;$G28,TRUE())</f>
        <v>#REF!</v>
      </c>
      <c r="C28" s="0" t="e">
        <f aca="true">INDIRECT("'Ответы на форму (1)'!D"&amp;$G28,TRUE())</f>
        <v>#REF!</v>
      </c>
      <c r="D28" s="0" t="n">
        <f aca="false">IFERROR(__xludf.dummyfunction("iferror(VALUE(REGEXEXTRACT(TEXT(INDIRECT(""'Ответы на форму (1)'!E""&amp;$G28,TRUE),""####""),""[0-9]+"")),INDIRECT(""'Ответы на форму (1)'!E""&amp;$G28,TRUE))"),56)</f>
        <v>56</v>
      </c>
      <c r="E28" s="0" t="e">
        <f aca="true">INDIRECT("'Ответы на форму (1)'!I"&amp;$G28,TRUE())</f>
        <v>#REF!</v>
      </c>
      <c r="F28" s="0" t="e">
        <f aca="true">INDIRECT("'Ответы на форму (1)'!J"&amp;$G28,TRUE())</f>
        <v>#REF!</v>
      </c>
      <c r="G28" s="1" t="n">
        <v>168</v>
      </c>
    </row>
    <row r="29" customFormat="false" ht="15.75" hidden="false" customHeight="false" outlineLevel="0" collapsed="false">
      <c r="A29" s="0" t="e">
        <f aca="true">INDIRECT("'Ответы на форму (1)'!B"&amp;$G29,TRUE())</f>
        <v>#REF!</v>
      </c>
      <c r="B29" s="0" t="e">
        <f aca="true">INDIRECT("'Ответы на форму (1)'!C"&amp;$G29,TRUE())</f>
        <v>#REF!</v>
      </c>
      <c r="C29" s="0" t="e">
        <f aca="true">INDIRECT("'Ответы на форму (1)'!D"&amp;$G29,TRUE())</f>
        <v>#REF!</v>
      </c>
      <c r="D29" s="0" t="n">
        <f aca="false">IFERROR(__xludf.dummyfunction("iferror(VALUE(REGEXEXTRACT(TEXT(INDIRECT(""'Ответы на форму (1)'!E""&amp;$G29,TRUE),""####""),""[0-9]+"")),INDIRECT(""'Ответы на форму (1)'!E""&amp;$G29,TRUE))"),98)</f>
        <v>98</v>
      </c>
      <c r="E29" s="0" t="e">
        <f aca="true">INDIRECT("'Ответы на форму (1)'!I"&amp;$G29,TRUE())</f>
        <v>#REF!</v>
      </c>
      <c r="F29" s="0" t="e">
        <f aca="true">INDIRECT("'Ответы на форму (1)'!J"&amp;$G29,TRUE())</f>
        <v>#REF!</v>
      </c>
      <c r="G29" s="1" t="n">
        <v>2</v>
      </c>
    </row>
    <row r="30" customFormat="false" ht="15.75" hidden="false" customHeight="false" outlineLevel="0" collapsed="false">
      <c r="A30" s="0" t="e">
        <f aca="true">INDIRECT("'Ответы на форму (1)'!B"&amp;$G30,TRUE())</f>
        <v>#REF!</v>
      </c>
      <c r="B30" s="0" t="e">
        <f aca="true">INDIRECT("'Ответы на форму (1)'!C"&amp;$G30,TRUE())</f>
        <v>#REF!</v>
      </c>
      <c r="C30" s="0" t="e">
        <f aca="true">INDIRECT("'Ответы на форму (1)'!D"&amp;$G30,TRUE())</f>
        <v>#REF!</v>
      </c>
      <c r="D30" s="0" t="n">
        <f aca="false">IFERROR(__xludf.dummyfunction("iferror(VALUE(REGEXEXTRACT(TEXT(INDIRECT(""'Ответы на форму (1)'!E""&amp;$G30,TRUE),""####""),""[0-9]+"")),INDIRECT(""'Ответы на форму (1)'!E""&amp;$G30,TRUE))"),36)</f>
        <v>36</v>
      </c>
      <c r="E30" s="0" t="e">
        <f aca="true">INDIRECT("'Ответы на форму (1)'!I"&amp;$G30,TRUE())</f>
        <v>#REF!</v>
      </c>
      <c r="F30" s="0" t="e">
        <f aca="true">INDIRECT("'Ответы на форму (1)'!J"&amp;$G30,TRUE())</f>
        <v>#REF!</v>
      </c>
      <c r="G30" s="1" t="n">
        <v>140</v>
      </c>
    </row>
    <row r="31" customFormat="false" ht="15.75" hidden="false" customHeight="false" outlineLevel="0" collapsed="false">
      <c r="A31" s="0" t="e">
        <f aca="true">INDIRECT("'Ответы на форму (1)'!B"&amp;$G31,TRUE())</f>
        <v>#REF!</v>
      </c>
      <c r="B31" s="0" t="e">
        <f aca="true">INDIRECT("'Ответы на форму (1)'!C"&amp;$G31,TRUE())</f>
        <v>#REF!</v>
      </c>
      <c r="C31" s="0" t="e">
        <f aca="true">INDIRECT("'Ответы на форму (1)'!D"&amp;$G31,TRUE())</f>
        <v>#REF!</v>
      </c>
      <c r="D31" s="0" t="n">
        <f aca="false">IFERROR(__xludf.dummyfunction("iferror(VALUE(REGEXEXTRACT(TEXT(INDIRECT(""'Ответы на форму (1)'!E""&amp;$G31,TRUE),""####""),""[0-9]+"")),INDIRECT(""'Ответы на форму (1)'!E""&amp;$G31,TRUE))"),117)</f>
        <v>117</v>
      </c>
      <c r="E31" s="0" t="e">
        <f aca="true">INDIRECT("'Ответы на форму (1)'!I"&amp;$G31,TRUE())</f>
        <v>#REF!</v>
      </c>
      <c r="F31" s="0" t="e">
        <f aca="true">INDIRECT("'Ответы на форму (1)'!J"&amp;$G31,TRUE())</f>
        <v>#REF!</v>
      </c>
      <c r="G31" s="1" t="n">
        <v>127</v>
      </c>
    </row>
    <row r="32" customFormat="false" ht="15.75" hidden="false" customHeight="false" outlineLevel="0" collapsed="false">
      <c r="A32" s="0" t="e">
        <f aca="true">INDIRECT("'Ответы на форму (1)'!B"&amp;$G32,TRUE())</f>
        <v>#REF!</v>
      </c>
      <c r="B32" s="0" t="e">
        <f aca="true">INDIRECT("'Ответы на форму (1)'!C"&amp;$G32,TRUE())</f>
        <v>#REF!</v>
      </c>
      <c r="C32" s="0" t="e">
        <f aca="true">INDIRECT("'Ответы на форму (1)'!D"&amp;$G32,TRUE())</f>
        <v>#REF!</v>
      </c>
      <c r="D32" s="0" t="n">
        <f aca="false">IFERROR(__xludf.dummyfunction("iferror(VALUE(REGEXEXTRACT(TEXT(INDIRECT(""'Ответы на форму (1)'!E""&amp;$G32,TRUE),""####""),""[0-9]+"")),INDIRECT(""'Ответы на форму (1)'!E""&amp;$G32,TRUE))"),117)</f>
        <v>117</v>
      </c>
      <c r="E32" s="0" t="e">
        <f aca="true">INDIRECT("'Ответы на форму (1)'!I"&amp;$G32,TRUE())</f>
        <v>#REF!</v>
      </c>
      <c r="F32" s="0" t="e">
        <f aca="true">INDIRECT("'Ответы на форму (1)'!J"&amp;$G32,TRUE())</f>
        <v>#REF!</v>
      </c>
      <c r="G32" s="1" t="n">
        <v>13</v>
      </c>
    </row>
    <row r="33" customFormat="false" ht="15.75" hidden="false" customHeight="false" outlineLevel="0" collapsed="false">
      <c r="A33" s="0" t="e">
        <f aca="true">INDIRECT("'Ответы на форму (1)'!B"&amp;$G33,TRUE())</f>
        <v>#REF!</v>
      </c>
      <c r="B33" s="0" t="e">
        <f aca="true">INDIRECT("'Ответы на форму (1)'!C"&amp;$G33,TRUE())</f>
        <v>#REF!</v>
      </c>
      <c r="C33" s="0" t="e">
        <f aca="true">INDIRECT("'Ответы на форму (1)'!D"&amp;$G33,TRUE())</f>
        <v>#REF!</v>
      </c>
      <c r="D33" s="0" t="n">
        <f aca="false">IFERROR(__xludf.dummyfunction("iferror(VALUE(REGEXEXTRACT(TEXT(INDIRECT(""'Ответы на форму (1)'!E""&amp;$G33,TRUE),""####""),""[0-9]+"")),INDIRECT(""'Ответы на форму (1)'!E""&amp;$G33,TRUE))"),117)</f>
        <v>117</v>
      </c>
      <c r="E33" s="0" t="e">
        <f aca="true">INDIRECT("'Ответы на форму (1)'!I"&amp;$G33,TRUE())</f>
        <v>#REF!</v>
      </c>
      <c r="F33" s="0" t="e">
        <f aca="true">INDIRECT("'Ответы на форму (1)'!J"&amp;$G33,TRUE())</f>
        <v>#REF!</v>
      </c>
      <c r="G33" s="1" t="n">
        <v>19</v>
      </c>
    </row>
    <row r="34" customFormat="false" ht="15.75" hidden="false" customHeight="false" outlineLevel="0" collapsed="false">
      <c r="A34" s="0" t="e">
        <f aca="true">INDIRECT("'Ответы на форму (1)'!B"&amp;$G34,TRUE())</f>
        <v>#REF!</v>
      </c>
      <c r="B34" s="0" t="e">
        <f aca="true">INDIRECT("'Ответы на форму (1)'!C"&amp;$G34,TRUE())</f>
        <v>#REF!</v>
      </c>
      <c r="C34" s="0" t="e">
        <f aca="true">INDIRECT("'Ответы на форму (1)'!D"&amp;$G34,TRUE())</f>
        <v>#REF!</v>
      </c>
      <c r="D34" s="0" t="n">
        <f aca="false">IFERROR(__xludf.dummyfunction("iferror(VALUE(REGEXEXTRACT(TEXT(INDIRECT(""'Ответы на форму (1)'!E""&amp;$G34,TRUE),""####""),""[0-9]+"")),INDIRECT(""'Ответы на форму (1)'!E""&amp;$G34,TRUE))"),117)</f>
        <v>117</v>
      </c>
      <c r="E34" s="0" t="e">
        <f aca="true">INDIRECT("'Ответы на форму (1)'!I"&amp;$G34,TRUE())</f>
        <v>#REF!</v>
      </c>
      <c r="F34" s="0" t="e">
        <f aca="true">INDIRECT("'Ответы на форму (1)'!J"&amp;$G34,TRUE())</f>
        <v>#REF!</v>
      </c>
      <c r="G34" s="1" t="n">
        <v>51</v>
      </c>
    </row>
    <row r="35" customFormat="false" ht="15.75" hidden="false" customHeight="false" outlineLevel="0" collapsed="false">
      <c r="A35" s="0" t="e">
        <f aca="true">INDIRECT("'Ответы на форму (1)'!B"&amp;$G35,TRUE())</f>
        <v>#REF!</v>
      </c>
      <c r="B35" s="0" t="e">
        <f aca="true">INDIRECT("'Ответы на форму (1)'!C"&amp;$G35,TRUE())</f>
        <v>#REF!</v>
      </c>
      <c r="C35" s="0" t="e">
        <f aca="true">INDIRECT("'Ответы на форму (1)'!D"&amp;$G35,TRUE())</f>
        <v>#REF!</v>
      </c>
      <c r="D35" s="0" t="n">
        <f aca="false">IFERROR(__xludf.dummyfunction("iferror(VALUE(REGEXEXTRACT(TEXT(INDIRECT(""'Ответы на форму (1)'!E""&amp;$G35,TRUE),""####""),""[0-9]+"")),INDIRECT(""'Ответы на форму (1)'!E""&amp;$G35,TRUE))"),19)</f>
        <v>19</v>
      </c>
      <c r="E35" s="0" t="e">
        <f aca="true">INDIRECT("'Ответы на форму (1)'!I"&amp;$G35,TRUE())</f>
        <v>#REF!</v>
      </c>
      <c r="F35" s="0" t="e">
        <f aca="true">INDIRECT("'Ответы на форму (1)'!J"&amp;$G35,TRUE())</f>
        <v>#REF!</v>
      </c>
      <c r="G35" s="1" t="n">
        <v>85</v>
      </c>
    </row>
    <row r="36" customFormat="false" ht="15.75" hidden="false" customHeight="false" outlineLevel="0" collapsed="false">
      <c r="A36" s="0" t="e">
        <f aca="true">INDIRECT("'Ответы на форму (1)'!B"&amp;$G36,TRUE())</f>
        <v>#REF!</v>
      </c>
      <c r="B36" s="0" t="e">
        <f aca="true">INDIRECT("'Ответы на форму (1)'!C"&amp;$G36,TRUE())</f>
        <v>#REF!</v>
      </c>
      <c r="C36" s="0" t="e">
        <f aca="true">INDIRECT("'Ответы на форму (1)'!D"&amp;$G36,TRUE())</f>
        <v>#REF!</v>
      </c>
      <c r="D36" s="0" t="n">
        <f aca="false">IFERROR(__xludf.dummyfunction("iferror(VALUE(REGEXEXTRACT(TEXT(INDIRECT(""'Ответы на форму (1)'!E""&amp;$G36,TRUE),""####""),""[0-9]+"")),INDIRECT(""'Ответы на форму (1)'!E""&amp;$G36,TRUE))"),117)</f>
        <v>117</v>
      </c>
      <c r="E36" s="0" t="e">
        <f aca="true">INDIRECT("'Ответы на форму (1)'!I"&amp;$G36,TRUE())</f>
        <v>#REF!</v>
      </c>
      <c r="F36" s="0" t="e">
        <f aca="true">INDIRECT("'Ответы на форму (1)'!J"&amp;$G36,TRUE())</f>
        <v>#REF!</v>
      </c>
      <c r="G36" s="1" t="n">
        <v>167</v>
      </c>
    </row>
    <row r="37" customFormat="false" ht="15.75" hidden="false" customHeight="false" outlineLevel="0" collapsed="false">
      <c r="A37" s="0" t="e">
        <f aca="true">INDIRECT("'Ответы на форму (1)'!B"&amp;$G37,TRUE())</f>
        <v>#REF!</v>
      </c>
      <c r="B37" s="0" t="e">
        <f aca="true">INDIRECT("'Ответы на форму (1)'!C"&amp;$G37,TRUE())</f>
        <v>#REF!</v>
      </c>
      <c r="C37" s="0" t="e">
        <f aca="true">INDIRECT("'Ответы на форму (1)'!D"&amp;$G37,TRUE())</f>
        <v>#REF!</v>
      </c>
      <c r="D37" s="0" t="n">
        <f aca="false">IFERROR(__xludf.dummyfunction("iferror(VALUE(REGEXEXTRACT(TEXT(INDIRECT(""'Ответы на форму (1)'!E""&amp;$G37,TRUE),""####""),""[0-9]+"")),INDIRECT(""'Ответы на форму (1)'!E""&amp;$G37,TRUE))"),117)</f>
        <v>117</v>
      </c>
      <c r="E37" s="0" t="e">
        <f aca="true">INDIRECT("'Ответы на форму (1)'!I"&amp;$G37,TRUE())</f>
        <v>#REF!</v>
      </c>
      <c r="F37" s="0" t="e">
        <f aca="true">INDIRECT("'Ответы на форму (1)'!J"&amp;$G37,TRUE())</f>
        <v>#REF!</v>
      </c>
      <c r="G37" s="1" t="n">
        <v>47</v>
      </c>
    </row>
    <row r="38" customFormat="false" ht="15.75" hidden="false" customHeight="false" outlineLevel="0" collapsed="false">
      <c r="A38" s="0" t="e">
        <f aca="true">INDIRECT("'Ответы на форму (1)'!B"&amp;$G38,TRUE())</f>
        <v>#REF!</v>
      </c>
      <c r="B38" s="0" t="e">
        <f aca="true">INDIRECT("'Ответы на форму (1)'!C"&amp;$G38,TRUE())</f>
        <v>#REF!</v>
      </c>
      <c r="C38" s="0" t="e">
        <f aca="true">INDIRECT("'Ответы на форму (1)'!D"&amp;$G38,TRUE())</f>
        <v>#REF!</v>
      </c>
      <c r="D38" s="0" t="n">
        <f aca="false">IFERROR(__xludf.dummyfunction("iferror(VALUE(REGEXEXTRACT(TEXT(INDIRECT(""'Ответы на форму (1)'!E""&amp;$G38,TRUE),""####""),""[0-9]+"")),INDIRECT(""'Ответы на форму (1)'!E""&amp;$G38,TRUE))"),117)</f>
        <v>117</v>
      </c>
      <c r="E38" s="0" t="e">
        <f aca="true">INDIRECT("'Ответы на форму (1)'!I"&amp;$G38,TRUE())</f>
        <v>#REF!</v>
      </c>
      <c r="F38" s="0" t="e">
        <f aca="true">INDIRECT("'Ответы на форму (1)'!J"&amp;$G38,TRUE())</f>
        <v>#REF!</v>
      </c>
      <c r="G38" s="1" t="n">
        <v>129</v>
      </c>
    </row>
    <row r="39" customFormat="false" ht="15.75" hidden="false" customHeight="false" outlineLevel="0" collapsed="false">
      <c r="A39" s="0" t="e">
        <f aca="true">INDIRECT("'Ответы на форму (1)'!B"&amp;$G39,TRUE())</f>
        <v>#REF!</v>
      </c>
      <c r="B39" s="0" t="e">
        <f aca="true">INDIRECT("'Ответы на форму (1)'!C"&amp;$G39,TRUE())</f>
        <v>#REF!</v>
      </c>
      <c r="C39" s="0" t="e">
        <f aca="true">INDIRECT("'Ответы на форму (1)'!D"&amp;$G39,TRUE())</f>
        <v>#REF!</v>
      </c>
      <c r="D39" s="0" t="n">
        <f aca="false">IFERROR(__xludf.dummyfunction("iferror(VALUE(REGEXEXTRACT(TEXT(INDIRECT(""'Ответы на форму (1)'!E""&amp;$G39,TRUE),""####""),""[0-9]+"")),INDIRECT(""'Ответы на форму (1)'!E""&amp;$G39,TRUE))"),64)</f>
        <v>64</v>
      </c>
      <c r="E39" s="0" t="e">
        <f aca="true">INDIRECT("'Ответы на форму (1)'!I"&amp;$G39,TRUE())</f>
        <v>#REF!</v>
      </c>
      <c r="F39" s="0" t="e">
        <f aca="true">INDIRECT("'Ответы на форму (1)'!J"&amp;$G39,TRUE())</f>
        <v>#REF!</v>
      </c>
      <c r="G39" s="1" t="n">
        <v>64</v>
      </c>
    </row>
    <row r="40" customFormat="false" ht="15.75" hidden="false" customHeight="false" outlineLevel="0" collapsed="false">
      <c r="A40" s="1" t="s">
        <v>727</v>
      </c>
      <c r="B40" s="1" t="s">
        <v>720</v>
      </c>
      <c r="C40" s="1" t="n">
        <v>9</v>
      </c>
      <c r="D40" s="1" t="n">
        <v>117</v>
      </c>
      <c r="E40" s="1" t="s">
        <v>22</v>
      </c>
      <c r="F40" s="1" t="s">
        <v>40</v>
      </c>
      <c r="G40" s="1" t="n">
        <v>180</v>
      </c>
    </row>
    <row r="41" customFormat="false" ht="15.75" hidden="false" customHeight="false" outlineLevel="0" collapsed="false">
      <c r="A41" s="0" t="e">
        <f aca="true">INDIRECT("'Ответы на форму (1)'!B"&amp;$G41,TRUE())</f>
        <v>#REF!</v>
      </c>
      <c r="B41" s="0" t="e">
        <f aca="true">INDIRECT("'Ответы на форму (1)'!C"&amp;$G41,TRUE())</f>
        <v>#REF!</v>
      </c>
      <c r="C41" s="0" t="e">
        <f aca="true">INDIRECT("'Ответы на форму (1)'!D"&amp;$G41,TRUE())</f>
        <v>#REF!</v>
      </c>
      <c r="D41" s="0" t="n">
        <f aca="false">IFERROR(__xludf.dummyfunction("iferror(VALUE(REGEXEXTRACT(TEXT(INDIRECT(""'Ответы на форму (1)'!E""&amp;$G41,TRUE),""####""),""[0-9]+"")),INDIRECT(""'Ответы на форму (1)'!E""&amp;$G41,TRUE))"),117)</f>
        <v>117</v>
      </c>
      <c r="E41" s="0" t="e">
        <f aca="true">INDIRECT("'Ответы на форму (1)'!I"&amp;$G41,TRUE())</f>
        <v>#REF!</v>
      </c>
      <c r="F41" s="0" t="e">
        <f aca="true">INDIRECT("'Ответы на форму (1)'!J"&amp;$G41,TRUE())</f>
        <v>#REF!</v>
      </c>
      <c r="G41" s="1" t="n">
        <v>6</v>
      </c>
    </row>
    <row r="42" customFormat="false" ht="15.75" hidden="false" customHeight="false" outlineLevel="0" collapsed="false">
      <c r="A42" s="0" t="e">
        <f aca="true">INDIRECT("'Ответы на форму (1)'!B"&amp;$G42,TRUE())</f>
        <v>#REF!</v>
      </c>
      <c r="B42" s="0" t="e">
        <f aca="true">INDIRECT("'Ответы на форму (1)'!C"&amp;$G42,TRUE())</f>
        <v>#REF!</v>
      </c>
      <c r="C42" s="0" t="e">
        <f aca="true">INDIRECT("'Ответы на форму (1)'!D"&amp;$G42,TRUE())</f>
        <v>#REF!</v>
      </c>
      <c r="D42" s="0" t="n">
        <f aca="false">IFERROR(__xludf.dummyfunction("iferror(VALUE(REGEXEXTRACT(TEXT(INDIRECT(""'Ответы на форму (1)'!E""&amp;$G42,TRUE),""####""),""[0-9]+"")),INDIRECT(""'Ответы на форму (1)'!E""&amp;$G42,TRUE))"),117)</f>
        <v>117</v>
      </c>
      <c r="E42" s="0" t="e">
        <f aca="true">INDIRECT("'Ответы на форму (1)'!I"&amp;$G42,TRUE())</f>
        <v>#REF!</v>
      </c>
      <c r="F42" s="0" t="e">
        <f aca="true">INDIRECT("'Ответы на форму (1)'!J"&amp;$G42,TRUE())</f>
        <v>#REF!</v>
      </c>
      <c r="G42" s="1" t="n">
        <v>93</v>
      </c>
    </row>
    <row r="43" customFormat="false" ht="15.75" hidden="false" customHeight="false" outlineLevel="0" collapsed="false">
      <c r="A43" s="0" t="e">
        <f aca="true">INDIRECT("'Ответы на форму (1)'!B"&amp;$G43,TRUE())</f>
        <v>#REF!</v>
      </c>
      <c r="B43" s="0" t="e">
        <f aca="true">INDIRECT("'Ответы на форму (1)'!C"&amp;$G43,TRUE())</f>
        <v>#REF!</v>
      </c>
      <c r="C43" s="0" t="e">
        <f aca="true">INDIRECT("'Ответы на форму (1)'!D"&amp;$G43,TRUE())</f>
        <v>#REF!</v>
      </c>
      <c r="D43" s="0" t="n">
        <f aca="false">IFERROR(__xludf.dummyfunction("iferror(VALUE(REGEXEXTRACT(TEXT(INDIRECT(""'Ответы на форму (1)'!E""&amp;$G43,TRUE),""####""),""[0-9]+"")),INDIRECT(""'Ответы на форму (1)'!E""&amp;$G43,TRUE))"),17)</f>
        <v>17</v>
      </c>
      <c r="E43" s="0" t="e">
        <f aca="true">INDIRECT("'Ответы на форму (1)'!I"&amp;$G43,TRUE())</f>
        <v>#REF!</v>
      </c>
      <c r="F43" s="0" t="e">
        <f aca="true">INDIRECT("'Ответы на форму (1)'!J"&amp;$G43,TRUE())</f>
        <v>#REF!</v>
      </c>
      <c r="G43" s="1" t="n">
        <v>38</v>
      </c>
    </row>
    <row r="44" customFormat="false" ht="15.75" hidden="false" customHeight="false" outlineLevel="0" collapsed="false">
      <c r="A44" s="0" t="e">
        <f aca="true">INDIRECT("'Ответы на форму (1)'!B"&amp;$G44,TRUE())</f>
        <v>#REF!</v>
      </c>
      <c r="B44" s="0" t="e">
        <f aca="true">INDIRECT("'Ответы на форму (1)'!C"&amp;$G44,TRUE())</f>
        <v>#REF!</v>
      </c>
      <c r="C44" s="0" t="e">
        <f aca="true">INDIRECT("'Ответы на форму (1)'!D"&amp;$G44,TRUE())</f>
        <v>#REF!</v>
      </c>
      <c r="D44" s="0" t="n">
        <f aca="false">IFERROR(__xludf.dummyfunction("iferror(VALUE(REGEXEXTRACT(TEXT(INDIRECT(""'Ответы на форму (1)'!E""&amp;$G44,TRUE),""####""),""[0-9]+"")),INDIRECT(""'Ответы на форму (1)'!E""&amp;$G44,TRUE))"),17)</f>
        <v>17</v>
      </c>
      <c r="E44" s="0" t="e">
        <f aca="true">INDIRECT("'Ответы на форму (1)'!I"&amp;$G44,TRUE())</f>
        <v>#REF!</v>
      </c>
      <c r="F44" s="0" t="e">
        <f aca="true">INDIRECT("'Ответы на форму (1)'!J"&amp;$G44,TRUE())</f>
        <v>#REF!</v>
      </c>
      <c r="G44" s="1" t="n">
        <v>88</v>
      </c>
    </row>
    <row r="45" customFormat="false" ht="15.75" hidden="false" customHeight="false" outlineLevel="0" collapsed="false">
      <c r="A45" s="0" t="e">
        <f aca="true">INDIRECT("'Ответы на форму (1)'!B"&amp;$G45,TRUE())</f>
        <v>#REF!</v>
      </c>
      <c r="B45" s="0" t="e">
        <f aca="true">INDIRECT("'Ответы на форму (1)'!C"&amp;$G45,TRUE())</f>
        <v>#REF!</v>
      </c>
      <c r="C45" s="0" t="e">
        <f aca="true">INDIRECT("'Ответы на форму (1)'!D"&amp;$G45,TRUE())</f>
        <v>#REF!</v>
      </c>
      <c r="D45" s="0" t="str">
        <f aca="false">IFERROR(__xludf.dummyfunction("iferror(VALUE(REGEXEXTRACT(TEXT(INDIRECT(""'Ответы на форму (1)'!E""&amp;$G45,TRUE),""####""),""[0-9]+"")),INDIRECT(""'Ответы на форму (1)'!E""&amp;$G45,TRUE))"),"Академический лицей при ОМГПУ ")</f>
        <v>Академический лицей при ОМГПУ</v>
      </c>
      <c r="E45" s="0" t="e">
        <f aca="true">INDIRECT("'Ответы на форму (1)'!I"&amp;$G45,TRUE())</f>
        <v>#REF!</v>
      </c>
      <c r="F45" s="0" t="e">
        <f aca="true">INDIRECT("'Ответы на форму (1)'!J"&amp;$G45,TRUE())</f>
        <v>#REF!</v>
      </c>
      <c r="G45" s="1" t="n">
        <v>70</v>
      </c>
    </row>
    <row r="46" customFormat="false" ht="15.75" hidden="false" customHeight="false" outlineLevel="0" collapsed="false">
      <c r="A46" s="1" t="s">
        <v>715</v>
      </c>
      <c r="B46" s="1" t="s">
        <v>593</v>
      </c>
      <c r="C46" s="1" t="n">
        <v>8</v>
      </c>
      <c r="D46" s="1" t="n">
        <v>25</v>
      </c>
      <c r="E46" s="1" t="s">
        <v>40</v>
      </c>
      <c r="F46" s="1" t="s">
        <v>23</v>
      </c>
      <c r="G46" s="1" t="n">
        <v>190</v>
      </c>
    </row>
    <row r="47" customFormat="false" ht="15.75" hidden="false" customHeight="false" outlineLevel="0" collapsed="false">
      <c r="A47" s="0" t="e">
        <f aca="true">INDIRECT("'Ответы на форму (1)'!B"&amp;$G47,TRUE())</f>
        <v>#REF!</v>
      </c>
      <c r="B47" s="0" t="e">
        <f aca="true">INDIRECT("'Ответы на форму (1)'!C"&amp;$G47,TRUE())</f>
        <v>#REF!</v>
      </c>
      <c r="C47" s="0" t="e">
        <f aca="true">INDIRECT("'Ответы на форму (1)'!D"&amp;$G47,TRUE())</f>
        <v>#REF!</v>
      </c>
      <c r="D47" s="0" t="n">
        <f aca="false">IFERROR(__xludf.dummyfunction("iferror(VALUE(REGEXEXTRACT(TEXT(INDIRECT(""'Ответы на форму (1)'!E""&amp;$G47,TRUE),""####""),""[0-9]+"")),INDIRECT(""'Ответы на форму (1)'!E""&amp;$G47,TRUE))"),117)</f>
        <v>117</v>
      </c>
      <c r="E47" s="0" t="e">
        <f aca="true">INDIRECT("'Ответы на форму (1)'!I"&amp;$G47,TRUE())</f>
        <v>#REF!</v>
      </c>
      <c r="F47" s="0" t="e">
        <f aca="true">INDIRECT("'Ответы на форму (1)'!J"&amp;$G47,TRUE())</f>
        <v>#REF!</v>
      </c>
      <c r="G47" s="1" t="n">
        <v>25</v>
      </c>
    </row>
    <row r="48" customFormat="false" ht="15.75" hidden="false" customHeight="false" outlineLevel="0" collapsed="false">
      <c r="A48" s="0" t="e">
        <f aca="true">INDIRECT("'Ответы на форму (1)'!B"&amp;$G48,TRUE())</f>
        <v>#REF!</v>
      </c>
      <c r="B48" s="0" t="e">
        <f aca="true">INDIRECT("'Ответы на форму (1)'!C"&amp;$G48,TRUE())</f>
        <v>#REF!</v>
      </c>
      <c r="C48" s="0" t="e">
        <f aca="true">INDIRECT("'Ответы на форму (1)'!D"&amp;$G48,TRUE())</f>
        <v>#REF!</v>
      </c>
      <c r="D48" s="0" t="n">
        <f aca="false">IFERROR(__xludf.dummyfunction("iferror(VALUE(REGEXEXTRACT(TEXT(INDIRECT(""'Ответы на форму (1)'!E""&amp;$G48,TRUE),""####""),""[0-9]+"")),INDIRECT(""'Ответы на форму (1)'!E""&amp;$G48,TRUE))"),64)</f>
        <v>64</v>
      </c>
      <c r="E48" s="0" t="e">
        <f aca="true">INDIRECT("'Ответы на форму (1)'!I"&amp;$G48,TRUE())</f>
        <v>#REF!</v>
      </c>
      <c r="F48" s="0" t="e">
        <f aca="true">INDIRECT("'Ответы на форму (1)'!J"&amp;$G48,TRUE())</f>
        <v>#REF!</v>
      </c>
      <c r="G48" s="1" t="n">
        <v>156</v>
      </c>
    </row>
    <row r="49" customFormat="false" ht="15.75" hidden="false" customHeight="false" outlineLevel="0" collapsed="false">
      <c r="A49" s="0" t="e">
        <f aca="true">INDIRECT("'Ответы на форму (1)'!B"&amp;$G49,TRUE())</f>
        <v>#REF!</v>
      </c>
      <c r="B49" s="0" t="e">
        <f aca="true">INDIRECT("'Ответы на форму (1)'!C"&amp;$G49,TRUE())</f>
        <v>#REF!</v>
      </c>
      <c r="C49" s="0" t="e">
        <f aca="true">INDIRECT("'Ответы на форму (1)'!D"&amp;$G49,TRUE())</f>
        <v>#REF!</v>
      </c>
      <c r="D49" s="0" t="n">
        <f aca="false">IFERROR(__xludf.dummyfunction("iferror(VALUE(REGEXEXTRACT(TEXT(INDIRECT(""'Ответы на форму (1)'!E""&amp;$G49,TRUE),""####""),""[0-9]+"")),INDIRECT(""'Ответы на форму (1)'!E""&amp;$G49,TRUE))"),64)</f>
        <v>64</v>
      </c>
      <c r="E49" s="0" t="e">
        <f aca="true">INDIRECT("'Ответы на форму (1)'!I"&amp;$G49,TRUE())</f>
        <v>#REF!</v>
      </c>
      <c r="F49" s="0" t="e">
        <f aca="true">INDIRECT("'Ответы на форму (1)'!J"&amp;$G49,TRUE())</f>
        <v>#REF!</v>
      </c>
      <c r="G49" s="1" t="n">
        <v>118</v>
      </c>
    </row>
    <row r="50" customFormat="false" ht="15.75" hidden="false" customHeight="false" outlineLevel="0" collapsed="false">
      <c r="A50" s="0" t="e">
        <f aca="true">INDIRECT("'Ответы на форму (1)'!B"&amp;$G50,TRUE())</f>
        <v>#REF!</v>
      </c>
      <c r="B50" s="0" t="e">
        <f aca="true">INDIRECT("'Ответы на форму (1)'!C"&amp;$G50,TRUE())</f>
        <v>#REF!</v>
      </c>
      <c r="C50" s="0" t="e">
        <f aca="true">INDIRECT("'Ответы на форму (1)'!D"&amp;$G50,TRUE())</f>
        <v>#REF!</v>
      </c>
      <c r="D50" s="0" t="n">
        <f aca="false">IFERROR(__xludf.dummyfunction("iferror(VALUE(REGEXEXTRACT(TEXT(INDIRECT(""'Ответы на форму (1)'!E""&amp;$G50,TRUE),""####""),""[0-9]+"")),INDIRECT(""'Ответы на форму (1)'!E""&amp;$G50,TRUE))"),34)</f>
        <v>34</v>
      </c>
      <c r="E50" s="0" t="e">
        <f aca="true">INDIRECT("'Ответы на форму (1)'!I"&amp;$G50,TRUE())</f>
        <v>#REF!</v>
      </c>
      <c r="F50" s="0" t="e">
        <f aca="true">INDIRECT("'Ответы на форму (1)'!J"&amp;$G50,TRUE())</f>
        <v>#REF!</v>
      </c>
      <c r="G50" s="1" t="n">
        <v>17</v>
      </c>
    </row>
    <row r="51" customFormat="false" ht="15.75" hidden="false" customHeight="false" outlineLevel="0" collapsed="false">
      <c r="A51" s="0" t="e">
        <f aca="true">INDIRECT("'Ответы на форму (1)'!B"&amp;$G51,TRUE())</f>
        <v>#REF!</v>
      </c>
      <c r="B51" s="0" t="e">
        <f aca="true">INDIRECT("'Ответы на форму (1)'!C"&amp;$G51,TRUE())</f>
        <v>#REF!</v>
      </c>
      <c r="C51" s="0" t="e">
        <f aca="true">INDIRECT("'Ответы на форму (1)'!D"&amp;$G51,TRUE())</f>
        <v>#REF!</v>
      </c>
      <c r="D51" s="0" t="n">
        <f aca="false">IFERROR(__xludf.dummyfunction("iferror(VALUE(REGEXEXTRACT(TEXT(INDIRECT(""'Ответы на форму (1)'!E""&amp;$G51,TRUE),""####""),""[0-9]+"")),INDIRECT(""'Ответы на форму (1)'!E""&amp;$G51,TRUE))"),117)</f>
        <v>117</v>
      </c>
      <c r="E51" s="0" t="e">
        <f aca="true">INDIRECT("'Ответы на форму (1)'!I"&amp;$G51,TRUE())</f>
        <v>#REF!</v>
      </c>
      <c r="F51" s="0" t="e">
        <f aca="true">INDIRECT("'Ответы на форму (1)'!J"&amp;$G51,TRUE())</f>
        <v>#REF!</v>
      </c>
      <c r="G51" s="1" t="n">
        <v>77</v>
      </c>
    </row>
    <row r="52" customFormat="false" ht="15.75" hidden="false" customHeight="false" outlineLevel="0" collapsed="false">
      <c r="A52" s="0" t="e">
        <f aca="true">INDIRECT("'Ответы на форму (1)'!B"&amp;$G52,TRUE())</f>
        <v>#REF!</v>
      </c>
      <c r="B52" s="0" t="e">
        <f aca="true">INDIRECT("'Ответы на форму (1)'!C"&amp;$G52,TRUE())</f>
        <v>#REF!</v>
      </c>
      <c r="C52" s="0" t="e">
        <f aca="true">INDIRECT("'Ответы на форму (1)'!D"&amp;$G52,TRUE())</f>
        <v>#REF!</v>
      </c>
      <c r="D52" s="0" t="n">
        <f aca="false">IFERROR(__xludf.dummyfunction("iferror(VALUE(REGEXEXTRACT(TEXT(INDIRECT(""'Ответы на форму (1)'!E""&amp;$G52,TRUE),""####""),""[0-9]+"")),INDIRECT(""'Ответы на форму (1)'!E""&amp;$G52,TRUE))"),166)</f>
        <v>166</v>
      </c>
      <c r="E52" s="0" t="e">
        <f aca="true">INDIRECT("'Ответы на форму (1)'!I"&amp;$G52,TRUE())</f>
        <v>#REF!</v>
      </c>
      <c r="F52" s="0" t="e">
        <f aca="true">INDIRECT("'Ответы на форму (1)'!J"&amp;$G52,TRUE())</f>
        <v>#REF!</v>
      </c>
      <c r="G52" s="1" t="n">
        <v>169</v>
      </c>
    </row>
    <row r="53" customFormat="false" ht="15.75" hidden="false" customHeight="false" outlineLevel="0" collapsed="false">
      <c r="A53" s="0" t="e">
        <f aca="true">INDIRECT("'Ответы на форму (1)'!B"&amp;$G53,TRUE())</f>
        <v>#REF!</v>
      </c>
      <c r="B53" s="0" t="e">
        <f aca="true">INDIRECT("'Ответы на форму (1)'!C"&amp;$G53,TRUE())</f>
        <v>#REF!</v>
      </c>
      <c r="C53" s="0" t="e">
        <f aca="true">INDIRECT("'Ответы на форму (1)'!D"&amp;$G53,TRUE())</f>
        <v>#REF!</v>
      </c>
      <c r="D53" s="0" t="n">
        <f aca="false">IFERROR(__xludf.dummyfunction("iferror(VALUE(REGEXEXTRACT(TEXT(INDIRECT(""'Ответы на форму (1)'!E""&amp;$G53,TRUE),""####""),""[0-9]+"")),INDIRECT(""'Ответы на форму (1)'!E""&amp;$G53,TRUE))"),64)</f>
        <v>64</v>
      </c>
      <c r="E53" s="0" t="e">
        <f aca="true">INDIRECT("'Ответы на форму (1)'!I"&amp;$G53,TRUE())</f>
        <v>#REF!</v>
      </c>
      <c r="F53" s="0" t="e">
        <f aca="true">INDIRECT("'Ответы на форму (1)'!J"&amp;$G53,TRUE())</f>
        <v>#REF!</v>
      </c>
      <c r="G53" s="1" t="n">
        <v>146</v>
      </c>
    </row>
    <row r="54" customFormat="false" ht="15.75" hidden="false" customHeight="false" outlineLevel="0" collapsed="false">
      <c r="A54" s="0" t="e">
        <f aca="true">INDIRECT("'Ответы на форму (1)'!B"&amp;$G54,TRUE())</f>
        <v>#REF!</v>
      </c>
      <c r="B54" s="0" t="e">
        <f aca="true">INDIRECT("'Ответы на форму (1)'!C"&amp;$G54,TRUE())</f>
        <v>#REF!</v>
      </c>
      <c r="C54" s="0" t="e">
        <f aca="true">INDIRECT("'Ответы на форму (1)'!D"&amp;$G54,TRUE())</f>
        <v>#REF!</v>
      </c>
      <c r="D54" s="0" t="n">
        <f aca="false">IFERROR(__xludf.dummyfunction("iferror(VALUE(REGEXEXTRACT(TEXT(INDIRECT(""'Ответы на форму (1)'!E""&amp;$G54,TRUE),""####""),""[0-9]+"")),INDIRECT(""'Ответы на форму (1)'!E""&amp;$G54,TRUE))"),92)</f>
        <v>92</v>
      </c>
      <c r="E54" s="0" t="e">
        <f aca="true">INDIRECT("'Ответы на форму (1)'!I"&amp;$G54,TRUE())</f>
        <v>#REF!</v>
      </c>
      <c r="F54" s="0" t="e">
        <f aca="true">INDIRECT("'Ответы на форму (1)'!J"&amp;$G54,TRUE())</f>
        <v>#REF!</v>
      </c>
      <c r="G54" s="1" t="n">
        <v>110</v>
      </c>
    </row>
    <row r="55" customFormat="false" ht="15.75" hidden="false" customHeight="false" outlineLevel="0" collapsed="false">
      <c r="A55" s="0" t="e">
        <f aca="true">INDIRECT("'Ответы на форму (1)'!B"&amp;$G55,TRUE())</f>
        <v>#REF!</v>
      </c>
      <c r="B55" s="0" t="e">
        <f aca="true">INDIRECT("'Ответы на форму (1)'!C"&amp;$G55,TRUE())</f>
        <v>#REF!</v>
      </c>
      <c r="C55" s="0" t="e">
        <f aca="true">INDIRECT("'Ответы на форму (1)'!D"&amp;$G55,TRUE())</f>
        <v>#REF!</v>
      </c>
      <c r="D55" s="0" t="n">
        <f aca="false">IFERROR(__xludf.dummyfunction("iferror(VALUE(REGEXEXTRACT(TEXT(INDIRECT(""'Ответы на форму (1)'!E""&amp;$G55,TRUE),""####""),""[0-9]+"")),INDIRECT(""'Ответы на форму (1)'!E""&amp;$G55,TRUE))"),117)</f>
        <v>117</v>
      </c>
      <c r="E55" s="0" t="e">
        <f aca="true">INDIRECT("'Ответы на форму (1)'!I"&amp;$G55,TRUE())</f>
        <v>#REF!</v>
      </c>
      <c r="F55" s="0" t="e">
        <f aca="true">INDIRECT("'Ответы на форму (1)'!J"&amp;$G55,TRUE())</f>
        <v>#REF!</v>
      </c>
      <c r="G55" s="1" t="n">
        <v>63</v>
      </c>
    </row>
    <row r="56" customFormat="false" ht="15.75" hidden="false" customHeight="false" outlineLevel="0" collapsed="false">
      <c r="A56" s="0" t="e">
        <f aca="true">INDIRECT("'Ответы на форму (1)'!B"&amp;$G56,TRUE())</f>
        <v>#REF!</v>
      </c>
      <c r="B56" s="0" t="e">
        <f aca="true">INDIRECT("'Ответы на форму (1)'!C"&amp;$G56,TRUE())</f>
        <v>#REF!</v>
      </c>
      <c r="C56" s="0" t="e">
        <f aca="true">INDIRECT("'Ответы на форму (1)'!D"&amp;$G56,TRUE())</f>
        <v>#REF!</v>
      </c>
      <c r="D56" s="0" t="n">
        <f aca="false">IFERROR(__xludf.dummyfunction("iferror(VALUE(REGEXEXTRACT(TEXT(INDIRECT(""'Ответы на форму (1)'!E""&amp;$G56,TRUE),""####""),""[0-9]+"")),INDIRECT(""'Ответы на форму (1)'!E""&amp;$G56,TRUE))"),117)</f>
        <v>117</v>
      </c>
      <c r="E56" s="0" t="e">
        <f aca="true">INDIRECT("'Ответы на форму (1)'!I"&amp;$G56,TRUE())</f>
        <v>#REF!</v>
      </c>
      <c r="F56" s="0" t="e">
        <f aca="true">INDIRECT("'Ответы на форму (1)'!J"&amp;$G56,TRUE())</f>
        <v>#REF!</v>
      </c>
      <c r="G56" s="1" t="n">
        <v>55</v>
      </c>
    </row>
    <row r="57" customFormat="false" ht="15.75" hidden="false" customHeight="false" outlineLevel="0" collapsed="false">
      <c r="A57" s="0" t="e">
        <f aca="true">INDIRECT("'Ответы на форму (1)'!B"&amp;$G57,TRUE())</f>
        <v>#REF!</v>
      </c>
      <c r="B57" s="0" t="e">
        <f aca="true">INDIRECT("'Ответы на форму (1)'!C"&amp;$G57,TRUE())</f>
        <v>#REF!</v>
      </c>
      <c r="C57" s="0" t="e">
        <f aca="true">INDIRECT("'Ответы на форму (1)'!D"&amp;$G57,TRUE())</f>
        <v>#REF!</v>
      </c>
      <c r="D57" s="0" t="n">
        <f aca="false">IFERROR(__xludf.dummyfunction("iferror(VALUE(REGEXEXTRACT(TEXT(INDIRECT(""'Ответы на форму (1)'!E""&amp;$G57,TRUE),""####""),""[0-9]+"")),INDIRECT(""'Ответы на форму (1)'!E""&amp;$G57,TRUE))"),117)</f>
        <v>117</v>
      </c>
      <c r="E57" s="1" t="s">
        <v>15</v>
      </c>
      <c r="F57" s="0" t="e">
        <f aca="true">INDIRECT("'Ответы на форму (1)'!J"&amp;$G57,TRUE())</f>
        <v>#REF!</v>
      </c>
      <c r="G57" s="1" t="n">
        <v>8</v>
      </c>
    </row>
    <row r="58" customFormat="false" ht="15.75" hidden="false" customHeight="false" outlineLevel="0" collapsed="false">
      <c r="A58" s="1" t="s">
        <v>716</v>
      </c>
      <c r="B58" s="1" t="s">
        <v>717</v>
      </c>
      <c r="C58" s="1" t="n">
        <v>9</v>
      </c>
      <c r="D58" s="1" t="n">
        <v>64</v>
      </c>
      <c r="E58" s="1" t="s">
        <v>15</v>
      </c>
      <c r="F58" s="1" t="s">
        <v>718</v>
      </c>
      <c r="G58" s="1" t="n">
        <v>192</v>
      </c>
    </row>
    <row r="59" customFormat="false" ht="15.75" hidden="false" customHeight="false" outlineLevel="0" collapsed="false">
      <c r="A59" s="0" t="e">
        <f aca="true">INDIRECT("'Ответы на форму (1)'!B"&amp;$G59,TRUE())</f>
        <v>#REF!</v>
      </c>
      <c r="B59" s="0" t="e">
        <f aca="true">INDIRECT("'Ответы на форму (1)'!C"&amp;$G59,TRUE())</f>
        <v>#REF!</v>
      </c>
      <c r="C59" s="0" t="e">
        <f aca="true">INDIRECT("'Ответы на форму (1)'!D"&amp;$G59,TRUE())</f>
        <v>#REF!</v>
      </c>
      <c r="D59" s="0" t="n">
        <f aca="false">IFERROR(__xludf.dummyfunction("iferror(VALUE(REGEXEXTRACT(TEXT(INDIRECT(""'Ответы на форму (1)'!E""&amp;$G59,TRUE),""####""),""[0-9]+"")),INDIRECT(""'Ответы на форму (1)'!E""&amp;$G59,TRUE))"),92)</f>
        <v>92</v>
      </c>
      <c r="E59" s="0" t="e">
        <f aca="true">INDIRECT("'Ответы на форму (1)'!I"&amp;$G59,TRUE())</f>
        <v>#REF!</v>
      </c>
      <c r="F59" s="0" t="e">
        <f aca="true">INDIRECT("'Ответы на форму (1)'!J"&amp;$G59,TRUE())</f>
        <v>#REF!</v>
      </c>
      <c r="G59" s="1" t="n">
        <v>71</v>
      </c>
    </row>
    <row r="60" customFormat="false" ht="15.75" hidden="false" customHeight="false" outlineLevel="0" collapsed="false">
      <c r="A60" s="1" t="s">
        <v>704</v>
      </c>
      <c r="B60" s="1" t="s">
        <v>403</v>
      </c>
      <c r="C60" s="1" t="n">
        <v>8</v>
      </c>
      <c r="D60" s="1" t="n">
        <v>149</v>
      </c>
      <c r="E60" s="1" t="s">
        <v>15</v>
      </c>
      <c r="F60" s="1" t="s">
        <v>65</v>
      </c>
      <c r="G60" s="1" t="n">
        <v>188</v>
      </c>
    </row>
    <row r="61" customFormat="false" ht="15.75" hidden="false" customHeight="false" outlineLevel="0" collapsed="false">
      <c r="A61" s="0" t="e">
        <f aca="true">INDIRECT("'Ответы на форму (1)'!B"&amp;$G61,TRUE())</f>
        <v>#REF!</v>
      </c>
      <c r="B61" s="0" t="e">
        <f aca="true">INDIRECT("'Ответы на форму (1)'!C"&amp;$G61,TRUE())</f>
        <v>#REF!</v>
      </c>
      <c r="C61" s="0" t="e">
        <f aca="true">INDIRECT("'Ответы на форму (1)'!D"&amp;$G61,TRUE())</f>
        <v>#REF!</v>
      </c>
      <c r="D61" s="0" t="n">
        <f aca="false">IFERROR(__xludf.dummyfunction("iferror(VALUE(REGEXEXTRACT(TEXT(INDIRECT(""'Ответы на форму (1)'!E""&amp;$G61,TRUE),""####""),""[0-9]+"")),INDIRECT(""'Ответы на форму (1)'!E""&amp;$G61,TRUE))"),1)</f>
        <v>1</v>
      </c>
      <c r="E61" s="0" t="e">
        <f aca="true">INDIRECT("'Ответы на форму (1)'!I"&amp;$G61,TRUE())</f>
        <v>#REF!</v>
      </c>
      <c r="F61" s="0" t="e">
        <f aca="true">INDIRECT("'Ответы на форму (1)'!J"&amp;$G61,TRUE())</f>
        <v>#REF!</v>
      </c>
      <c r="G61" s="1" t="n">
        <v>142</v>
      </c>
    </row>
    <row r="62" customFormat="false" ht="15.75" hidden="false" customHeight="false" outlineLevel="0" collapsed="false">
      <c r="A62" s="0" t="e">
        <f aca="true">INDIRECT("'Ответы на форму (1)'!B"&amp;$G62,TRUE())</f>
        <v>#REF!</v>
      </c>
      <c r="B62" s="0" t="e">
        <f aca="true">INDIRECT("'Ответы на форму (1)'!C"&amp;$G62,TRUE())</f>
        <v>#REF!</v>
      </c>
      <c r="C62" s="0" t="e">
        <f aca="true">INDIRECT("'Ответы на форму (1)'!D"&amp;$G62,TRUE())</f>
        <v>#REF!</v>
      </c>
      <c r="D62" s="0" t="n">
        <f aca="false">IFERROR(__xludf.dummyfunction("iferror(VALUE(REGEXEXTRACT(TEXT(INDIRECT(""'Ответы на форму (1)'!E""&amp;$G62,TRUE),""####""),""[0-9]+"")),INDIRECT(""'Ответы на форму (1)'!E""&amp;$G62,TRUE))"),51)</f>
        <v>51</v>
      </c>
      <c r="E62" s="0" t="e">
        <f aca="true">INDIRECT("'Ответы на форму (1)'!I"&amp;$G62,TRUE())</f>
        <v>#REF!</v>
      </c>
      <c r="F62" s="0" t="e">
        <f aca="true">INDIRECT("'Ответы на форму (1)'!J"&amp;$G62,TRUE())</f>
        <v>#REF!</v>
      </c>
      <c r="G62" s="1" t="n">
        <v>7</v>
      </c>
    </row>
    <row r="63" customFormat="false" ht="15.75" hidden="false" customHeight="false" outlineLevel="0" collapsed="false">
      <c r="A63" s="0" t="e">
        <f aca="true">INDIRECT("'Ответы на форму (1)'!B"&amp;$G63,TRUE())</f>
        <v>#REF!</v>
      </c>
      <c r="B63" s="0" t="e">
        <f aca="true">INDIRECT("'Ответы на форму (1)'!C"&amp;$G63,TRUE())</f>
        <v>#REF!</v>
      </c>
      <c r="C63" s="0" t="e">
        <f aca="true">INDIRECT("'Ответы на форму (1)'!D"&amp;$G63,TRUE())</f>
        <v>#REF!</v>
      </c>
      <c r="D63" s="0" t="n">
        <f aca="false">IFERROR(__xludf.dummyfunction("iferror(VALUE(REGEXEXTRACT(TEXT(INDIRECT(""'Ответы на форму (1)'!E""&amp;$G63,TRUE),""####""),""[0-9]+"")),INDIRECT(""'Ответы на форму (1)'!E""&amp;$G63,TRUE))"),117)</f>
        <v>117</v>
      </c>
      <c r="E63" s="0" t="e">
        <f aca="true">INDIRECT("'Ответы на форму (1)'!I"&amp;$G63,TRUE())</f>
        <v>#REF!</v>
      </c>
      <c r="F63" s="0" t="e">
        <f aca="true">INDIRECT("'Ответы на форму (1)'!J"&amp;$G63,TRUE())</f>
        <v>#REF!</v>
      </c>
      <c r="G63" s="1" t="n">
        <v>16</v>
      </c>
    </row>
    <row r="64" customFormat="false" ht="15.75" hidden="false" customHeight="false" outlineLevel="0" collapsed="false">
      <c r="A64" s="0" t="e">
        <f aca="true">INDIRECT("'Ответы на форму (1)'!B"&amp;$G64,TRUE())</f>
        <v>#REF!</v>
      </c>
      <c r="B64" s="0" t="e">
        <f aca="true">INDIRECT("'Ответы на форму (1)'!C"&amp;$G64,TRUE())</f>
        <v>#REF!</v>
      </c>
      <c r="C64" s="0" t="e">
        <f aca="true">INDIRECT("'Ответы на форму (1)'!D"&amp;$G64,TRUE())</f>
        <v>#REF!</v>
      </c>
      <c r="D64" s="0" t="n">
        <f aca="false">IFERROR(__xludf.dummyfunction("iferror(VALUE(REGEXEXTRACT(TEXT(INDIRECT(""'Ответы на форму (1)'!E""&amp;$G64,TRUE),""####""),""[0-9]+"")),INDIRECT(""'Ответы на форму (1)'!E""&amp;$G64,TRUE))"),149)</f>
        <v>149</v>
      </c>
      <c r="E64" s="0" t="e">
        <f aca="true">INDIRECT("'Ответы на форму (1)'!I"&amp;$G64,TRUE())</f>
        <v>#REF!</v>
      </c>
      <c r="F64" s="0" t="e">
        <f aca="true">INDIRECT("'Ответы на форму (1)'!J"&amp;$G64,TRUE())</f>
        <v>#REF!</v>
      </c>
      <c r="G64" s="1" t="n">
        <v>65</v>
      </c>
    </row>
    <row r="65" customFormat="false" ht="15.75" hidden="false" customHeight="false" outlineLevel="0" collapsed="false">
      <c r="A65" s="0" t="e">
        <f aca="true">INDIRECT("'Ответы на форму (1)'!B"&amp;$G65,TRUE())</f>
        <v>#REF!</v>
      </c>
      <c r="B65" s="0" t="e">
        <f aca="true">INDIRECT("'Ответы на форму (1)'!C"&amp;$G65,TRUE())</f>
        <v>#REF!</v>
      </c>
      <c r="C65" s="0" t="e">
        <f aca="true">INDIRECT("'Ответы на форму (1)'!D"&amp;$G65,TRUE())</f>
        <v>#REF!</v>
      </c>
      <c r="D65" s="0" t="n">
        <f aca="false">IFERROR(__xludf.dummyfunction("iferror(VALUE(REGEXEXTRACT(TEXT(INDIRECT(""'Ответы на форму (1)'!E""&amp;$G65,TRUE),""####""),""[0-9]+"")),INDIRECT(""'Ответы на форму (1)'!E""&amp;$G65,TRUE))"),64)</f>
        <v>64</v>
      </c>
      <c r="E65" s="0" t="e">
        <f aca="true">INDIRECT("'Ответы на форму (1)'!I"&amp;$G65,TRUE())</f>
        <v>#REF!</v>
      </c>
      <c r="F65" s="0" t="e">
        <f aca="true">INDIRECT("'Ответы на форму (1)'!J"&amp;$G65,TRUE())</f>
        <v>#REF!</v>
      </c>
      <c r="G65" s="1" t="n">
        <v>37</v>
      </c>
    </row>
    <row r="66" customFormat="false" ht="15.75" hidden="false" customHeight="false" outlineLevel="0" collapsed="false">
      <c r="A66" s="1" t="s">
        <v>711</v>
      </c>
      <c r="B66" s="1" t="s">
        <v>61</v>
      </c>
      <c r="C66" s="1" t="n">
        <v>9</v>
      </c>
      <c r="D66" s="1" t="n">
        <v>149</v>
      </c>
      <c r="E66" s="1" t="s">
        <v>14</v>
      </c>
      <c r="F66" s="1" t="s">
        <v>40</v>
      </c>
      <c r="G66" s="1" t="n">
        <v>183</v>
      </c>
    </row>
    <row r="67" customFormat="false" ht="15.75" hidden="false" customHeight="false" outlineLevel="0" collapsed="false">
      <c r="A67" s="0" t="e">
        <f aca="true">INDIRECT("'Ответы на форму (1)'!B"&amp;$G67,TRUE())</f>
        <v>#REF!</v>
      </c>
      <c r="B67" s="0" t="e">
        <f aca="true">INDIRECT("'Ответы на форму (1)'!C"&amp;$G67,TRUE())</f>
        <v>#REF!</v>
      </c>
      <c r="C67" s="0" t="e">
        <f aca="true">INDIRECT("'Ответы на форму (1)'!D"&amp;$G67,TRUE())</f>
        <v>#REF!</v>
      </c>
      <c r="D67" s="0" t="n">
        <f aca="false">IFERROR(__xludf.dummyfunction("iferror(VALUE(REGEXEXTRACT(TEXT(INDIRECT(""'Ответы на форму (1)'!E""&amp;$G67,TRUE),""####""),""[0-9]+"")),INDIRECT(""'Ответы на форму (1)'!E""&amp;$G67,TRUE))"),139)</f>
        <v>139</v>
      </c>
      <c r="E67" s="0" t="e">
        <f aca="true">INDIRECT("'Ответы на форму (1)'!I"&amp;$G67,TRUE())</f>
        <v>#REF!</v>
      </c>
      <c r="F67" s="0" t="e">
        <f aca="true">INDIRECT("'Ответы на форму (1)'!J"&amp;$G67,TRUE())</f>
        <v>#REF!</v>
      </c>
      <c r="G67" s="1" t="n">
        <v>115</v>
      </c>
    </row>
    <row r="68" customFormat="false" ht="15.75" hidden="false" customHeight="false" outlineLevel="0" collapsed="false">
      <c r="A68" s="1" t="s">
        <v>734</v>
      </c>
      <c r="B68" s="1" t="s">
        <v>190</v>
      </c>
      <c r="C68" s="1" t="n">
        <v>9</v>
      </c>
      <c r="D68" s="1" t="n">
        <v>149</v>
      </c>
      <c r="E68" s="1" t="s">
        <v>14</v>
      </c>
      <c r="F68" s="1" t="s">
        <v>85</v>
      </c>
      <c r="G68" s="1" t="n">
        <v>177</v>
      </c>
    </row>
    <row r="69" customFormat="false" ht="15.75" hidden="false" customHeight="false" outlineLevel="0" collapsed="false">
      <c r="A69" s="0" t="e">
        <f aca="true">INDIRECT("'Ответы на форму (1)'!B"&amp;$G69,TRUE())</f>
        <v>#REF!</v>
      </c>
      <c r="B69" s="0" t="e">
        <f aca="true">INDIRECT("'Ответы на форму (1)'!C"&amp;$G69,TRUE())</f>
        <v>#REF!</v>
      </c>
      <c r="C69" s="0" t="e">
        <f aca="true">INDIRECT("'Ответы на форму (1)'!D"&amp;$G69,TRUE())</f>
        <v>#REF!</v>
      </c>
      <c r="D69" s="0" t="n">
        <f aca="false">IFERROR(__xludf.dummyfunction("iferror(VALUE(REGEXEXTRACT(TEXT(INDIRECT(""'Ответы на форму (1)'!E""&amp;$G69,TRUE),""####""),""[0-9]+"")),INDIRECT(""'Ответы на форму (1)'!E""&amp;$G69,TRUE))"),137)</f>
        <v>137</v>
      </c>
      <c r="E69" s="0" t="e">
        <f aca="true">INDIRECT("'Ответы на форму (1)'!I"&amp;$G69,TRUE())</f>
        <v>#REF!</v>
      </c>
      <c r="F69" s="0" t="e">
        <f aca="true">INDIRECT("'Ответы на форму (1)'!J"&amp;$G69,TRUE())</f>
        <v>#REF!</v>
      </c>
      <c r="G69" s="1" t="n">
        <v>137</v>
      </c>
    </row>
    <row r="70" customFormat="false" ht="15.75" hidden="false" customHeight="false" outlineLevel="0" collapsed="false">
      <c r="A70" s="0" t="e">
        <f aca="true">INDIRECT("'Ответы на форму (1)'!B"&amp;$G70,TRUE())</f>
        <v>#REF!</v>
      </c>
      <c r="B70" s="0" t="e">
        <f aca="true">INDIRECT("'Ответы на форму (1)'!C"&amp;$G70,TRUE())</f>
        <v>#REF!</v>
      </c>
      <c r="C70" s="0" t="e">
        <f aca="true">INDIRECT("'Ответы на форму (1)'!D"&amp;$G70,TRUE())</f>
        <v>#REF!</v>
      </c>
      <c r="D70" s="0" t="n">
        <f aca="false">IFERROR(__xludf.dummyfunction("iferror(VALUE(REGEXEXTRACT(TEXT(INDIRECT(""'Ответы на форму (1)'!E""&amp;$G70,TRUE),""####""),""[0-9]+"")),INDIRECT(""'Ответы на форму (1)'!E""&amp;$G70,TRUE))"),117)</f>
        <v>117</v>
      </c>
      <c r="E70" s="0" t="e">
        <f aca="true">INDIRECT("'Ответы на форму (1)'!I"&amp;$G70,TRUE())</f>
        <v>#REF!</v>
      </c>
      <c r="F70" s="0" t="e">
        <f aca="true">INDIRECT("'Ответы на форму (1)'!J"&amp;$G70,TRUE())</f>
        <v>#REF!</v>
      </c>
      <c r="G70" s="1" t="n">
        <v>100</v>
      </c>
    </row>
    <row r="71" customFormat="false" ht="15.75" hidden="false" customHeight="false" outlineLevel="0" collapsed="false">
      <c r="A71" s="0" t="e">
        <f aca="true">INDIRECT("'Ответы на форму (1)'!B"&amp;$G71,TRUE())</f>
        <v>#REF!</v>
      </c>
      <c r="B71" s="0" t="e">
        <f aca="true">INDIRECT("'Ответы на форму (1)'!C"&amp;$G71,TRUE())</f>
        <v>#REF!</v>
      </c>
      <c r="C71" s="0" t="e">
        <f aca="true">INDIRECT("'Ответы на форму (1)'!D"&amp;$G71,TRUE())</f>
        <v>#REF!</v>
      </c>
      <c r="D71" s="0" t="str">
        <f aca="false">IFERROR(__xludf.dummyfunction("iferror(VALUE(REGEXEXTRACT(TEXT(INDIRECT(""'Ответы на форму (1)'!E""&amp;$G71,TRUE),""####""),""[0-9]+"")),INDIRECT(""'Ответы на форму (1)'!E""&amp;$G71,TRUE))"),"Академический лицей при ОМГпУ ")</f>
        <v>Академический лицей при ОМГпУ</v>
      </c>
      <c r="E71" s="0" t="e">
        <f aca="true">INDIRECT("'Ответы на форму (1)'!I"&amp;$G71,TRUE())</f>
        <v>#REF!</v>
      </c>
      <c r="F71" s="0" t="e">
        <f aca="true">INDIRECT("'Ответы на форму (1)'!J"&amp;$G71,TRUE())</f>
        <v>#REF!</v>
      </c>
      <c r="G71" s="1" t="n">
        <v>69</v>
      </c>
    </row>
    <row r="72" customFormat="false" ht="15.75" hidden="false" customHeight="false" outlineLevel="0" collapsed="false">
      <c r="A72" s="0" t="e">
        <f aca="true">INDIRECT("'Ответы на форму (1)'!B"&amp;$G72,TRUE())</f>
        <v>#REF!</v>
      </c>
      <c r="B72" s="0" t="e">
        <f aca="true">INDIRECT("'Ответы на форму (1)'!C"&amp;$G72,TRUE())</f>
        <v>#REF!</v>
      </c>
      <c r="C72" s="0" t="e">
        <f aca="true">INDIRECT("'Ответы на форму (1)'!D"&amp;$G72,TRUE())</f>
        <v>#REF!</v>
      </c>
      <c r="D72" s="0" t="n">
        <f aca="false">IFERROR(__xludf.dummyfunction("iferror(VALUE(REGEXEXTRACT(TEXT(INDIRECT(""'Ответы на форму (1)'!E""&amp;$G72,TRUE),""####""),""[0-9]+"")),INDIRECT(""'Ответы на форму (1)'!E""&amp;$G72,TRUE))"),117)</f>
        <v>117</v>
      </c>
      <c r="E72" s="0" t="e">
        <f aca="true">INDIRECT("'Ответы на форму (1)'!I"&amp;$G72,TRUE())</f>
        <v>#REF!</v>
      </c>
      <c r="F72" s="0" t="e">
        <f aca="true">INDIRECT("'Ответы на форму (1)'!J"&amp;$G72,TRUE())</f>
        <v>#REF!</v>
      </c>
      <c r="G72" s="1" t="n">
        <v>124</v>
      </c>
    </row>
    <row r="73" customFormat="false" ht="15.75" hidden="false" customHeight="false" outlineLevel="0" collapsed="false">
      <c r="A73" s="0" t="e">
        <f aca="true">INDIRECT("'Ответы на форму (1)'!B"&amp;$G73,TRUE())</f>
        <v>#REF!</v>
      </c>
      <c r="B73" s="0" t="e">
        <f aca="true">INDIRECT("'Ответы на форму (1)'!C"&amp;$G73,TRUE())</f>
        <v>#REF!</v>
      </c>
      <c r="C73" s="0" t="e">
        <f aca="true">INDIRECT("'Ответы на форму (1)'!D"&amp;$G73,TRUE())</f>
        <v>#REF!</v>
      </c>
      <c r="D73" s="0" t="n">
        <f aca="false">IFERROR(__xludf.dummyfunction("iferror(VALUE(REGEXEXTRACT(TEXT(INDIRECT(""'Ответы на форму (1)'!E""&amp;$G73,TRUE),""####""),""[0-9]+"")),INDIRECT(""'Ответы на форму (1)'!E""&amp;$G73,TRUE))"),64)</f>
        <v>64</v>
      </c>
      <c r="E73" s="0" t="e">
        <f aca="true">INDIRECT("'Ответы на форму (1)'!I"&amp;$G73,TRUE())</f>
        <v>#REF!</v>
      </c>
      <c r="F73" s="0" t="e">
        <f aca="true">INDIRECT("'Ответы на форму (1)'!J"&amp;$G73,TRUE())</f>
        <v>#REF!</v>
      </c>
      <c r="G73" s="1" t="n">
        <v>160</v>
      </c>
    </row>
    <row r="74" customFormat="false" ht="15.75" hidden="false" customHeight="false" outlineLevel="0" collapsed="false">
      <c r="A74" s="0" t="e">
        <f aca="true">INDIRECT("'Ответы на форму (1)'!B"&amp;$G74,TRUE())</f>
        <v>#REF!</v>
      </c>
      <c r="B74" s="0" t="e">
        <f aca="true">INDIRECT("'Ответы на форму (1)'!C"&amp;$G74,TRUE())</f>
        <v>#REF!</v>
      </c>
      <c r="C74" s="0" t="e">
        <f aca="true">INDIRECT("'Ответы на форму (1)'!D"&amp;$G74,TRUE())</f>
        <v>#REF!</v>
      </c>
      <c r="D74" s="0" t="n">
        <f aca="false">IFERROR(__xludf.dummyfunction("iferror(VALUE(REGEXEXTRACT(TEXT(INDIRECT(""'Ответы на форму (1)'!E""&amp;$G74,TRUE),""####""),""[0-9]+"")),INDIRECT(""'Ответы на форму (1)'!E""&amp;$G74,TRUE))"),64)</f>
        <v>64</v>
      </c>
      <c r="E74" s="0" t="e">
        <f aca="true">INDIRECT("'Ответы на форму (1)'!I"&amp;$G74,TRUE())</f>
        <v>#REF!</v>
      </c>
      <c r="F74" s="0" t="e">
        <f aca="true">INDIRECT("'Ответы на форму (1)'!J"&amp;$G74,TRUE())</f>
        <v>#REF!</v>
      </c>
      <c r="G74" s="1" t="n">
        <v>171</v>
      </c>
    </row>
    <row r="75" customFormat="false" ht="15.75" hidden="false" customHeight="false" outlineLevel="0" collapsed="false">
      <c r="A75" s="0" t="e">
        <f aca="true">INDIRECT("'Ответы на форму (1)'!B"&amp;$G75,TRUE())</f>
        <v>#REF!</v>
      </c>
      <c r="B75" s="0" t="e">
        <f aca="true">INDIRECT("'Ответы на форму (1)'!C"&amp;$G75,TRUE())</f>
        <v>#REF!</v>
      </c>
      <c r="C75" s="0" t="e">
        <f aca="true">INDIRECT("'Ответы на форму (1)'!D"&amp;$G75,TRUE())</f>
        <v>#REF!</v>
      </c>
      <c r="D75" s="0" t="n">
        <f aca="false">IFERROR(__xludf.dummyfunction("iferror(VALUE(REGEXEXTRACT(TEXT(INDIRECT(""'Ответы на форму (1)'!E""&amp;$G75,TRUE),""####""),""[0-9]+"")),INDIRECT(""'Ответы на форму (1)'!E""&amp;$G75,TRUE))"),66)</f>
        <v>66</v>
      </c>
      <c r="E75" s="0" t="e">
        <f aca="true">INDIRECT("'Ответы на форму (1)'!I"&amp;$G75,TRUE())</f>
        <v>#REF!</v>
      </c>
      <c r="F75" s="0" t="e">
        <f aca="true">INDIRECT("'Ответы на форму (1)'!J"&amp;$G75,TRUE())</f>
        <v>#REF!</v>
      </c>
      <c r="G75" s="1" t="n">
        <v>35</v>
      </c>
    </row>
    <row r="76" customFormat="false" ht="15.75" hidden="false" customHeight="false" outlineLevel="0" collapsed="false">
      <c r="A76" s="0" t="e">
        <f aca="true">INDIRECT("'Ответы на форму (1)'!B"&amp;$G76,TRUE())</f>
        <v>#REF!</v>
      </c>
      <c r="B76" s="0" t="e">
        <f aca="true">INDIRECT("'Ответы на форму (1)'!C"&amp;$G76,TRUE())</f>
        <v>#REF!</v>
      </c>
      <c r="C76" s="0" t="e">
        <f aca="true">INDIRECT("'Ответы на форму (1)'!D"&amp;$G76,TRUE())</f>
        <v>#REF!</v>
      </c>
      <c r="D76" s="0" t="n">
        <f aca="false">IFERROR(__xludf.dummyfunction("iferror(VALUE(REGEXEXTRACT(TEXT(INDIRECT(""'Ответы на форму (1)'!E""&amp;$G76,TRUE),""####""),""[0-9]+"")),INDIRECT(""'Ответы на форму (1)'!E""&amp;$G76,TRUE))"),66)</f>
        <v>66</v>
      </c>
      <c r="E76" s="0" t="e">
        <f aca="true">INDIRECT("'Ответы на форму (1)'!I"&amp;$G76,TRUE())</f>
        <v>#REF!</v>
      </c>
      <c r="F76" s="0" t="e">
        <f aca="true">INDIRECT("'Ответы на форму (1)'!J"&amp;$G76,TRUE())</f>
        <v>#REF!</v>
      </c>
      <c r="G76" s="1" t="n">
        <v>109</v>
      </c>
    </row>
    <row r="77" customFormat="false" ht="15.75" hidden="false" customHeight="false" outlineLevel="0" collapsed="false">
      <c r="A77" s="0" t="e">
        <f aca="true">INDIRECT("'Ответы на форму (1)'!B"&amp;$G77,TRUE())</f>
        <v>#REF!</v>
      </c>
      <c r="B77" s="0" t="e">
        <f aca="true">INDIRECT("'Ответы на форму (1)'!C"&amp;$G77,TRUE())</f>
        <v>#REF!</v>
      </c>
      <c r="C77" s="0" t="e">
        <f aca="true">INDIRECT("'Ответы на форму (1)'!D"&amp;$G77,TRUE())</f>
        <v>#REF!</v>
      </c>
      <c r="D77" s="0" t="n">
        <f aca="false">IFERROR(__xludf.dummyfunction("iferror(VALUE(REGEXEXTRACT(TEXT(INDIRECT(""'Ответы на форму (1)'!E""&amp;$G77,TRUE),""####""),""[0-9]+"")),INDIRECT(""'Ответы на форму (1)'!E""&amp;$G77,TRUE))"),123)</f>
        <v>123</v>
      </c>
      <c r="E77" s="0" t="e">
        <f aca="true">INDIRECT("'Ответы на форму (1)'!I"&amp;$G77,TRUE())</f>
        <v>#REF!</v>
      </c>
      <c r="F77" s="0" t="e">
        <f aca="true">INDIRECT("'Ответы на форму (1)'!J"&amp;$G77,TRUE())</f>
        <v>#REF!</v>
      </c>
      <c r="G77" s="1" t="n">
        <v>152</v>
      </c>
    </row>
    <row r="78" customFormat="false" ht="15.75" hidden="false" customHeight="false" outlineLevel="0" collapsed="false">
      <c r="A78" s="0" t="e">
        <f aca="true">INDIRECT("'Ответы на форму (1)'!B"&amp;$G78,TRUE())</f>
        <v>#REF!</v>
      </c>
      <c r="B78" s="0" t="e">
        <f aca="true">INDIRECT("'Ответы на форму (1)'!C"&amp;$G78,TRUE())</f>
        <v>#REF!</v>
      </c>
      <c r="C78" s="0" t="e">
        <f aca="true">INDIRECT("'Ответы на форму (1)'!D"&amp;$G78,TRUE())</f>
        <v>#REF!</v>
      </c>
      <c r="D78" s="0" t="n">
        <f aca="false">IFERROR(__xludf.dummyfunction("iferror(VALUE(REGEXEXTRACT(TEXT(INDIRECT(""'Ответы на форму (1)'!E""&amp;$G78,TRUE),""####""),""[0-9]+"")),INDIRECT(""'Ответы на форму (1)'!E""&amp;$G78,TRUE))"),117)</f>
        <v>117</v>
      </c>
      <c r="E78" s="0" t="e">
        <f aca="true">INDIRECT("'Ответы на форму (1)'!I"&amp;$G78,TRUE())</f>
        <v>#REF!</v>
      </c>
      <c r="F78" s="0" t="e">
        <f aca="true">INDIRECT("'Ответы на форму (1)'!J"&amp;$G78,TRUE())</f>
        <v>#REF!</v>
      </c>
      <c r="G78" s="1" t="n">
        <v>163</v>
      </c>
    </row>
    <row r="79" customFormat="false" ht="15.75" hidden="false" customHeight="false" outlineLevel="0" collapsed="false">
      <c r="A79" s="1" t="s">
        <v>708</v>
      </c>
      <c r="B79" s="1" t="s">
        <v>233</v>
      </c>
      <c r="C79" s="1" t="n">
        <v>10</v>
      </c>
      <c r="D79" s="1" t="n">
        <v>149</v>
      </c>
      <c r="E79" s="1" t="s">
        <v>51</v>
      </c>
      <c r="F79" s="1" t="s">
        <v>45</v>
      </c>
      <c r="G79" s="1" t="n">
        <v>186</v>
      </c>
    </row>
    <row r="80" customFormat="false" ht="15.75" hidden="false" customHeight="false" outlineLevel="0" collapsed="false">
      <c r="A80" s="1" t="s">
        <v>708</v>
      </c>
      <c r="B80" s="1" t="s">
        <v>264</v>
      </c>
      <c r="C80" s="1" t="n">
        <v>10</v>
      </c>
      <c r="D80" s="1" t="n">
        <v>149</v>
      </c>
      <c r="E80" s="1" t="s">
        <v>51</v>
      </c>
      <c r="F80" s="1" t="s">
        <v>45</v>
      </c>
      <c r="G80" s="1" t="n">
        <v>187</v>
      </c>
    </row>
    <row r="81" customFormat="false" ht="15.75" hidden="false" customHeight="false" outlineLevel="0" collapsed="false">
      <c r="A81" s="0" t="e">
        <f aca="true">INDIRECT("'Ответы на форму (1)'!B"&amp;$G81,TRUE())</f>
        <v>#REF!</v>
      </c>
      <c r="B81" s="0" t="e">
        <f aca="true">INDIRECT("'Ответы на форму (1)'!C"&amp;$G81,TRUE())</f>
        <v>#REF!</v>
      </c>
      <c r="C81" s="0" t="e">
        <f aca="true">INDIRECT("'Ответы на форму (1)'!D"&amp;$G81,TRUE())</f>
        <v>#REF!</v>
      </c>
      <c r="D81" s="0" t="n">
        <f aca="false">IFERROR(__xludf.dummyfunction("iferror(VALUE(REGEXEXTRACT(TEXT(INDIRECT(""'Ответы на форму (1)'!E""&amp;$G81,TRUE),""####""),""[0-9]+"")),INDIRECT(""'Ответы на форму (1)'!E""&amp;$G81,TRUE))"),117)</f>
        <v>117</v>
      </c>
      <c r="E81" s="0" t="e">
        <f aca="true">INDIRECT("'Ответы на форму (1)'!I"&amp;$G81,TRUE())</f>
        <v>#REF!</v>
      </c>
      <c r="F81" s="0" t="e">
        <f aca="true">INDIRECT("'Ответы на форму (1)'!J"&amp;$G81,TRUE())</f>
        <v>#REF!</v>
      </c>
      <c r="G81" s="1" t="n">
        <v>76</v>
      </c>
    </row>
    <row r="82" customFormat="false" ht="15.75" hidden="false" customHeight="false" outlineLevel="0" collapsed="false">
      <c r="A82" s="0" t="e">
        <f aca="true">INDIRECT("'Ответы на форму (1)'!B"&amp;$G82,TRUE())</f>
        <v>#REF!</v>
      </c>
      <c r="B82" s="0" t="e">
        <f aca="true">INDIRECT("'Ответы на форму (1)'!C"&amp;$G82,TRUE())</f>
        <v>#REF!</v>
      </c>
      <c r="C82" s="0" t="e">
        <f aca="true">INDIRECT("'Ответы на форму (1)'!D"&amp;$G82,TRUE())</f>
        <v>#REF!</v>
      </c>
      <c r="D82" s="0" t="n">
        <f aca="false">IFERROR(__xludf.dummyfunction("iferror(VALUE(REGEXEXTRACT(TEXT(INDIRECT(""'Ответы на форму (1)'!E""&amp;$G82,TRUE),""####""),""[0-9]+"")),INDIRECT(""'Ответы на форму (1)'!E""&amp;$G82,TRUE))"),109)</f>
        <v>109</v>
      </c>
      <c r="E82" s="0" t="e">
        <f aca="true">INDIRECT("'Ответы на форму (1)'!I"&amp;$G82,TRUE())</f>
        <v>#REF!</v>
      </c>
      <c r="F82" s="0" t="e">
        <f aca="true">INDIRECT("'Ответы на форму (1)'!J"&amp;$G82,TRUE())</f>
        <v>#REF!</v>
      </c>
      <c r="G82" s="1" t="n">
        <v>90</v>
      </c>
    </row>
    <row r="83" customFormat="false" ht="15.75" hidden="false" customHeight="false" outlineLevel="0" collapsed="false">
      <c r="A83" s="0" t="e">
        <f aca="true">INDIRECT("'Ответы на форму (1)'!B"&amp;$G83,TRUE())</f>
        <v>#REF!</v>
      </c>
      <c r="B83" s="0" t="e">
        <f aca="true">INDIRECT("'Ответы на форму (1)'!C"&amp;$G83,TRUE())</f>
        <v>#REF!</v>
      </c>
      <c r="C83" s="0" t="e">
        <f aca="true">INDIRECT("'Ответы на форму (1)'!D"&amp;$G83,TRUE())</f>
        <v>#REF!</v>
      </c>
      <c r="D83" s="0" t="n">
        <f aca="false">IFERROR(__xludf.dummyfunction("iferror(VALUE(REGEXEXTRACT(TEXT(INDIRECT(""'Ответы на форму (1)'!E""&amp;$G83,TRUE),""####""),""[0-9]+"")),INDIRECT(""'Ответы на форму (1)'!E""&amp;$G83,TRUE))"),150)</f>
        <v>150</v>
      </c>
      <c r="E83" s="0" t="e">
        <f aca="true">INDIRECT("'Ответы на форму (1)'!I"&amp;$G83,TRUE())</f>
        <v>#REF!</v>
      </c>
      <c r="F83" s="0" t="e">
        <f aca="true">INDIRECT("'Ответы на форму (1)'!J"&amp;$G83,TRUE())</f>
        <v>#REF!</v>
      </c>
      <c r="G83" s="1" t="n">
        <v>134</v>
      </c>
    </row>
    <row r="84" customFormat="false" ht="15.75" hidden="false" customHeight="false" outlineLevel="0" collapsed="false">
      <c r="A84" s="0" t="e">
        <f aca="true">INDIRECT("'Ответы на форму (1)'!B"&amp;$G84,TRUE())</f>
        <v>#REF!</v>
      </c>
      <c r="B84" s="0" t="e">
        <f aca="true">INDIRECT("'Ответы на форму (1)'!C"&amp;$G84,TRUE())</f>
        <v>#REF!</v>
      </c>
      <c r="C84" s="0" t="e">
        <f aca="true">INDIRECT("'Ответы на форму (1)'!D"&amp;$G84,TRUE())</f>
        <v>#REF!</v>
      </c>
      <c r="D84" s="0" t="n">
        <f aca="false">IFERROR(__xludf.dummyfunction("iferror(VALUE(REGEXEXTRACT(TEXT(INDIRECT(""'Ответы на форму (1)'!E""&amp;$G84,TRUE),""####""),""[0-9]+"")),INDIRECT(""'Ответы на форму (1)'!E""&amp;$G84,TRUE))"),149)</f>
        <v>149</v>
      </c>
      <c r="E84" s="0" t="e">
        <f aca="true">INDIRECT("'Ответы на форму (1)'!I"&amp;$G84,TRUE())</f>
        <v>#REF!</v>
      </c>
      <c r="F84" s="0" t="e">
        <f aca="true">INDIRECT("'Ответы на форму (1)'!J"&amp;$G84,TRUE())</f>
        <v>#REF!</v>
      </c>
      <c r="G84" s="1" t="n">
        <v>10</v>
      </c>
    </row>
    <row r="85" customFormat="false" ht="15.75" hidden="false" customHeight="false" outlineLevel="0" collapsed="false">
      <c r="A85" s="0" t="e">
        <f aca="true">INDIRECT("'Ответы на форму (1)'!B"&amp;$G85,TRUE())</f>
        <v>#REF!</v>
      </c>
      <c r="B85" s="0" t="e">
        <f aca="true">INDIRECT("'Ответы на форму (1)'!C"&amp;$G85,TRUE())</f>
        <v>#REF!</v>
      </c>
      <c r="C85" s="0" t="e">
        <f aca="true">INDIRECT("'Ответы на форму (1)'!D"&amp;$G85,TRUE())</f>
        <v>#REF!</v>
      </c>
      <c r="D85" s="0" t="n">
        <f aca="false">IFERROR(__xludf.dummyfunction("iferror(VALUE(REGEXEXTRACT(TEXT(INDIRECT(""'Ответы на форму (1)'!E""&amp;$G85,TRUE),""####""),""[0-9]+"")),INDIRECT(""'Ответы на форму (1)'!E""&amp;$G85,TRUE))"),137)</f>
        <v>137</v>
      </c>
      <c r="E85" s="0" t="e">
        <f aca="true">INDIRECT("'Ответы на форму (1)'!I"&amp;$G85,TRUE())</f>
        <v>#REF!</v>
      </c>
      <c r="F85" s="0" t="e">
        <f aca="true">INDIRECT("'Ответы на форму (1)'!J"&amp;$G85,TRUE())</f>
        <v>#REF!</v>
      </c>
      <c r="G85" s="1" t="n">
        <v>128</v>
      </c>
    </row>
    <row r="86" customFormat="false" ht="15.75" hidden="false" customHeight="false" outlineLevel="0" collapsed="false">
      <c r="A86" s="0" t="e">
        <f aca="true">INDIRECT("'Ответы на форму (1)'!B"&amp;$G86,TRUE())</f>
        <v>#REF!</v>
      </c>
      <c r="B86" s="0" t="e">
        <f aca="true">INDIRECT("'Ответы на форму (1)'!C"&amp;$G86,TRUE())</f>
        <v>#REF!</v>
      </c>
      <c r="C86" s="0" t="e">
        <f aca="true">INDIRECT("'Ответы на форму (1)'!D"&amp;$G86,TRUE())</f>
        <v>#REF!</v>
      </c>
      <c r="D86" s="0" t="n">
        <f aca="false">IFERROR(__xludf.dummyfunction("iferror(VALUE(REGEXEXTRACT(TEXT(INDIRECT(""'Ответы на форму (1)'!E""&amp;$G86,TRUE),""####""),""[0-9]+"")),INDIRECT(""'Ответы на форму (1)'!E""&amp;$G86,TRUE))"),64)</f>
        <v>64</v>
      </c>
      <c r="E86" s="0" t="e">
        <f aca="true">INDIRECT("'Ответы на форму (1)'!I"&amp;$G86,TRUE())</f>
        <v>#REF!</v>
      </c>
      <c r="F86" s="0" t="e">
        <f aca="true">INDIRECT("'Ответы на форму (1)'!J"&amp;$G86,TRUE())</f>
        <v>#REF!</v>
      </c>
      <c r="G86" s="1" t="n">
        <v>48</v>
      </c>
    </row>
    <row r="87" customFormat="false" ht="15.75" hidden="false" customHeight="false" outlineLevel="0" collapsed="false">
      <c r="A87" s="0" t="e">
        <f aca="true">INDIRECT("'Ответы на форму (1)'!B"&amp;$G87,TRUE())</f>
        <v>#REF!</v>
      </c>
      <c r="B87" s="0" t="e">
        <f aca="true">INDIRECT("'Ответы на форму (1)'!C"&amp;$G87,TRUE())</f>
        <v>#REF!</v>
      </c>
      <c r="C87" s="0" t="e">
        <f aca="true">INDIRECT("'Ответы на форму (1)'!D"&amp;$G87,TRUE())</f>
        <v>#REF!</v>
      </c>
      <c r="D87" s="0" t="n">
        <f aca="false">IFERROR(__xludf.dummyfunction("iferror(VALUE(REGEXEXTRACT(TEXT(INDIRECT(""'Ответы на форму (1)'!E""&amp;$G87,TRUE),""####""),""[0-9]+"")),INDIRECT(""'Ответы на форму (1)'!E""&amp;$G87,TRUE))"),64)</f>
        <v>64</v>
      </c>
      <c r="E87" s="0" t="e">
        <f aca="true">INDIRECT("'Ответы на форму (1)'!I"&amp;$G87,TRUE())</f>
        <v>#REF!</v>
      </c>
      <c r="F87" s="0" t="e">
        <f aca="true">INDIRECT("'Ответы на форму (1)'!J"&amp;$G87,TRUE())</f>
        <v>#REF!</v>
      </c>
      <c r="G87" s="1" t="n">
        <v>26</v>
      </c>
    </row>
    <row r="88" customFormat="false" ht="15.75" hidden="false" customHeight="false" outlineLevel="0" collapsed="false">
      <c r="A88" s="0" t="e">
        <f aca="true">INDIRECT("'Ответы на форму (1)'!B"&amp;$G88,TRUE())</f>
        <v>#REF!</v>
      </c>
      <c r="B88" s="0" t="e">
        <f aca="true">INDIRECT("'Ответы на форму (1)'!C"&amp;$G88,TRUE())</f>
        <v>#REF!</v>
      </c>
      <c r="C88" s="0" t="e">
        <f aca="true">INDIRECT("'Ответы на форму (1)'!D"&amp;$G88,TRUE())</f>
        <v>#REF!</v>
      </c>
      <c r="D88" s="0" t="n">
        <f aca="false">IFERROR(__xludf.dummyfunction("iferror(VALUE(REGEXEXTRACT(TEXT(INDIRECT(""'Ответы на форму (1)'!E""&amp;$G88,TRUE),""####""),""[0-9]+"")),INDIRECT(""'Ответы на форму (1)'!E""&amp;$G88,TRUE))"),66)</f>
        <v>66</v>
      </c>
      <c r="E88" s="0" t="e">
        <f aca="true">INDIRECT("'Ответы на форму (1)'!I"&amp;$G88,TRUE())</f>
        <v>#REF!</v>
      </c>
      <c r="F88" s="0" t="e">
        <f aca="true">INDIRECT("'Ответы на форму (1)'!J"&amp;$G88,TRUE())</f>
        <v>#REF!</v>
      </c>
      <c r="G88" s="1" t="n">
        <v>40</v>
      </c>
    </row>
    <row r="89" customFormat="false" ht="15.75" hidden="false" customHeight="false" outlineLevel="0" collapsed="false">
      <c r="A89" s="0" t="e">
        <f aca="true">INDIRECT("'Ответы на форму (1)'!B"&amp;$G89,TRUE())</f>
        <v>#REF!</v>
      </c>
      <c r="B89" s="0" t="e">
        <f aca="true">INDIRECT("'Ответы на форму (1)'!C"&amp;$G89,TRUE())</f>
        <v>#REF!</v>
      </c>
      <c r="C89" s="0" t="e">
        <f aca="true">INDIRECT("'Ответы на форму (1)'!D"&amp;$G89,TRUE())</f>
        <v>#REF!</v>
      </c>
      <c r="D89" s="0" t="n">
        <f aca="false">IFERROR(__xludf.dummyfunction("iferror(VALUE(REGEXEXTRACT(TEXT(INDIRECT(""'Ответы на форму (1)'!E""&amp;$G89,TRUE),""####""),""[0-9]+"")),INDIRECT(""'Ответы на форму (1)'!E""&amp;$G89,TRUE))"),64)</f>
        <v>64</v>
      </c>
      <c r="E89" s="0" t="e">
        <f aca="true">INDIRECT("'Ответы на форму (1)'!I"&amp;$G89,TRUE())</f>
        <v>#REF!</v>
      </c>
      <c r="F89" s="0" t="e">
        <f aca="true">INDIRECT("'Ответы на форму (1)'!J"&amp;$G89,TRUE())</f>
        <v>#REF!</v>
      </c>
      <c r="G89" s="1" t="n">
        <v>82</v>
      </c>
    </row>
    <row r="90" customFormat="false" ht="15.75" hidden="false" customHeight="false" outlineLevel="0" collapsed="false">
      <c r="A90" s="0" t="e">
        <f aca="true">INDIRECT("'Ответы на форму (1)'!B"&amp;$G90,TRUE())</f>
        <v>#REF!</v>
      </c>
      <c r="B90" s="0" t="e">
        <f aca="true">INDIRECT("'Ответы на форму (1)'!C"&amp;$G90,TRUE())</f>
        <v>#REF!</v>
      </c>
      <c r="C90" s="0" t="e">
        <f aca="true">INDIRECT("'Ответы на форму (1)'!D"&amp;$G90,TRUE())</f>
        <v>#REF!</v>
      </c>
      <c r="D90" s="0" t="n">
        <f aca="false">IFERROR(__xludf.dummyfunction("iferror(VALUE(REGEXEXTRACT(TEXT(INDIRECT(""'Ответы на форму (1)'!E""&amp;$G90,TRUE),""####""),""[0-9]+"")),INDIRECT(""'Ответы на форму (1)'!E""&amp;$G90,TRUE))"),117)</f>
        <v>117</v>
      </c>
      <c r="E90" s="0" t="e">
        <f aca="true">INDIRECT("'Ответы на форму (1)'!I"&amp;$G90,TRUE())</f>
        <v>#REF!</v>
      </c>
      <c r="F90" s="0" t="e">
        <f aca="true">INDIRECT("'Ответы на форму (1)'!J"&amp;$G90,TRUE())</f>
        <v>#REF!</v>
      </c>
      <c r="G90" s="1" t="n">
        <v>96</v>
      </c>
    </row>
    <row r="91" customFormat="false" ht="15.75" hidden="false" customHeight="false" outlineLevel="0" collapsed="false">
      <c r="A91" s="0" t="e">
        <f aca="true">INDIRECT("'Ответы на форму (1)'!B"&amp;$G91,TRUE())</f>
        <v>#REF!</v>
      </c>
      <c r="B91" s="0" t="e">
        <f aca="true">INDIRECT("'Ответы на форму (1)'!C"&amp;$G91,TRUE())</f>
        <v>#REF!</v>
      </c>
      <c r="C91" s="0" t="e">
        <f aca="true">INDIRECT("'Ответы на форму (1)'!D"&amp;$G91,TRUE())</f>
        <v>#REF!</v>
      </c>
      <c r="D91" s="0" t="n">
        <f aca="false">IFERROR(__xludf.dummyfunction("iferror(VALUE(REGEXEXTRACT(TEXT(INDIRECT(""'Ответы на форму (1)'!E""&amp;$G91,TRUE),""####""),""[0-9]+"")),INDIRECT(""'Ответы на форму (1)'!E""&amp;$G91,TRUE))"),117)</f>
        <v>117</v>
      </c>
      <c r="E91" s="0" t="e">
        <f aca="true">INDIRECT("'Ответы на форму (1)'!I"&amp;$G91,TRUE())</f>
        <v>#REF!</v>
      </c>
      <c r="F91" s="0" t="e">
        <f aca="true">INDIRECT("'Ответы на форму (1)'!J"&amp;$G91,TRUE())</f>
        <v>#REF!</v>
      </c>
      <c r="G91" s="1" t="n">
        <v>56</v>
      </c>
    </row>
    <row r="92" customFormat="false" ht="15.75" hidden="false" customHeight="false" outlineLevel="0" collapsed="false">
      <c r="A92" s="0" t="e">
        <f aca="true">INDIRECT("'Ответы на форму (1)'!B"&amp;$G92,TRUE())</f>
        <v>#REF!</v>
      </c>
      <c r="B92" s="0" t="e">
        <f aca="true">INDIRECT("'Ответы на форму (1)'!C"&amp;$G92,TRUE())</f>
        <v>#REF!</v>
      </c>
      <c r="C92" s="0" t="e">
        <f aca="true">INDIRECT("'Ответы на форму (1)'!D"&amp;$G92,TRUE())</f>
        <v>#REF!</v>
      </c>
      <c r="D92" s="0" t="n">
        <f aca="false">IFERROR(__xludf.dummyfunction("iferror(VALUE(REGEXEXTRACT(TEXT(INDIRECT(""'Ответы на форму (1)'!E""&amp;$G92,TRUE),""####""),""[0-9]+"")),INDIRECT(""'Ответы на форму (1)'!E""&amp;$G92,TRUE))"),117)</f>
        <v>117</v>
      </c>
      <c r="E92" s="0" t="e">
        <f aca="true">INDIRECT("'Ответы на форму (1)'!I"&amp;$G92,TRUE())</f>
        <v>#REF!</v>
      </c>
      <c r="F92" s="0" t="e">
        <f aca="true">INDIRECT("'Ответы на форму (1)'!J"&amp;$G92,TRUE())</f>
        <v>#REF!</v>
      </c>
      <c r="G92" s="1" t="n">
        <v>166</v>
      </c>
    </row>
    <row r="93" customFormat="false" ht="15.75" hidden="false" customHeight="false" outlineLevel="0" collapsed="false">
      <c r="A93" s="0" t="e">
        <f aca="true">INDIRECT("'Ответы на форму (1)'!B"&amp;$G93,TRUE())</f>
        <v>#REF!</v>
      </c>
      <c r="B93" s="0" t="e">
        <f aca="true">INDIRECT("'Ответы на форму (1)'!C"&amp;$G93,TRUE())</f>
        <v>#REF!</v>
      </c>
      <c r="C93" s="0" t="e">
        <f aca="true">INDIRECT("'Ответы на форму (1)'!D"&amp;$G93,TRUE())</f>
        <v>#REF!</v>
      </c>
      <c r="D93" s="0" t="n">
        <f aca="false">IFERROR(__xludf.dummyfunction("iferror(VALUE(REGEXEXTRACT(TEXT(INDIRECT(""'Ответы на форму (1)'!E""&amp;$G93,TRUE),""####""),""[0-9]+"")),INDIRECT(""'Ответы на форму (1)'!E""&amp;$G93,TRUE))"),139)</f>
        <v>139</v>
      </c>
      <c r="E93" s="0" t="e">
        <f aca="true">INDIRECT("'Ответы на форму (1)'!I"&amp;$G93,TRUE())</f>
        <v>#REF!</v>
      </c>
      <c r="F93" s="0" t="e">
        <f aca="true">INDIRECT("'Ответы на форму (1)'!J"&amp;$G93,TRUE())</f>
        <v>#REF!</v>
      </c>
      <c r="G93" s="1" t="n">
        <v>119</v>
      </c>
    </row>
    <row r="94" customFormat="false" ht="15.75" hidden="false" customHeight="false" outlineLevel="0" collapsed="false">
      <c r="A94" s="0" t="e">
        <f aca="true">INDIRECT("'Ответы на форму (1)'!B"&amp;$G94,TRUE())</f>
        <v>#REF!</v>
      </c>
      <c r="B94" s="0" t="e">
        <f aca="true">INDIRECT("'Ответы на форму (1)'!C"&amp;$G94,TRUE())</f>
        <v>#REF!</v>
      </c>
      <c r="C94" s="0" t="e">
        <f aca="true">INDIRECT("'Ответы на форму (1)'!D"&amp;$G94,TRUE())</f>
        <v>#REF!</v>
      </c>
      <c r="D94" s="0" t="n">
        <f aca="false">IFERROR(__xludf.dummyfunction("iferror(VALUE(REGEXEXTRACT(TEXT(INDIRECT(""'Ответы на форму (1)'!E""&amp;$G94,TRUE),""####""),""[0-9]+"")),INDIRECT(""'Ответы на форму (1)'!E""&amp;$G94,TRUE))"),117)</f>
        <v>117</v>
      </c>
      <c r="E94" s="0" t="e">
        <f aca="true">INDIRECT("'Ответы на форму (1)'!I"&amp;$G94,TRUE())</f>
        <v>#REF!</v>
      </c>
      <c r="F94" s="0" t="e">
        <f aca="true">INDIRECT("'Ответы на форму (1)'!J"&amp;$G94,TRUE())</f>
        <v>#REF!</v>
      </c>
      <c r="G94" s="1" t="n">
        <v>113</v>
      </c>
    </row>
    <row r="95" customFormat="false" ht="15.75" hidden="false" customHeight="false" outlineLevel="0" collapsed="false">
      <c r="A95" s="0" t="e">
        <f aca="true">INDIRECT("'Ответы на форму (1)'!B"&amp;$G95,TRUE())</f>
        <v>#REF!</v>
      </c>
      <c r="B95" s="0" t="e">
        <f aca="true">INDIRECT("'Ответы на форму (1)'!C"&amp;$G95,TRUE())</f>
        <v>#REF!</v>
      </c>
      <c r="C95" s="0" t="e">
        <f aca="true">INDIRECT("'Ответы на форму (1)'!D"&amp;$G95,TRUE())</f>
        <v>#REF!</v>
      </c>
      <c r="D95" s="0" t="n">
        <f aca="false">IFERROR(__xludf.dummyfunction("iferror(VALUE(REGEXEXTRACT(TEXT(INDIRECT(""'Ответы на форму (1)'!E""&amp;$G95,TRUE),""####""),""[0-9]+"")),INDIRECT(""'Ответы на форму (1)'!E""&amp;$G95,TRUE))"),146)</f>
        <v>146</v>
      </c>
      <c r="E95" s="0" t="e">
        <f aca="true">INDIRECT("'Ответы на форму (1)'!I"&amp;$G95,TRUE())</f>
        <v>#REF!</v>
      </c>
      <c r="F95" s="0" t="e">
        <f aca="true">INDIRECT("'Ответы на форму (1)'!J"&amp;$G95,TRUE())</f>
        <v>#REF!</v>
      </c>
      <c r="G95" s="1" t="n">
        <v>158</v>
      </c>
    </row>
    <row r="96" customFormat="false" ht="15.75" hidden="false" customHeight="false" outlineLevel="0" collapsed="false">
      <c r="A96" s="0" t="e">
        <f aca="true">INDIRECT("'Ответы на форму (1)'!B"&amp;$G96,TRUE())</f>
        <v>#REF!</v>
      </c>
      <c r="B96" s="0" t="e">
        <f aca="true">INDIRECT("'Ответы на форму (1)'!C"&amp;$G96,TRUE())</f>
        <v>#REF!</v>
      </c>
      <c r="C96" s="0" t="e">
        <f aca="true">INDIRECT("'Ответы на форму (1)'!D"&amp;$G96,TRUE())</f>
        <v>#REF!</v>
      </c>
      <c r="D96" s="0" t="n">
        <f aca="false">IFERROR(__xludf.dummyfunction("iferror(VALUE(REGEXEXTRACT(TEXT(INDIRECT(""'Ответы на форму (1)'!E""&amp;$G96,TRUE),""####""),""[0-9]+"")),INDIRECT(""'Ответы на форму (1)'!E""&amp;$G96,TRUE))"),64)</f>
        <v>64</v>
      </c>
      <c r="E96" s="0" t="e">
        <f aca="true">INDIRECT("'Ответы на форму (1)'!I"&amp;$G96,TRUE())</f>
        <v>#REF!</v>
      </c>
      <c r="F96" s="0" t="e">
        <f aca="true">INDIRECT("'Ответы на форму (1)'!J"&amp;$G96,TRUE())</f>
        <v>#REF!</v>
      </c>
      <c r="G96" s="1" t="n">
        <v>98</v>
      </c>
    </row>
    <row r="97" customFormat="false" ht="15.75" hidden="false" customHeight="false" outlineLevel="0" collapsed="false">
      <c r="A97" s="0" t="e">
        <f aca="true">INDIRECT("'Ответы на форму (1)'!B"&amp;$G97,TRUE())</f>
        <v>#REF!</v>
      </c>
      <c r="B97" s="0" t="e">
        <f aca="true">INDIRECT("'Ответы на форму (1)'!C"&amp;$G97,TRUE())</f>
        <v>#REF!</v>
      </c>
      <c r="C97" s="0" t="e">
        <f aca="true">INDIRECT("'Ответы на форму (1)'!D"&amp;$G97,TRUE())</f>
        <v>#REF!</v>
      </c>
      <c r="D97" s="0" t="n">
        <f aca="false">IFERROR(__xludf.dummyfunction("iferror(VALUE(REGEXEXTRACT(TEXT(INDIRECT(""'Ответы на форму (1)'!E""&amp;$G97,TRUE),""####""),""[0-9]+"")),INDIRECT(""'Ответы на форму (1)'!E""&amp;$G97,TRUE))"),140)</f>
        <v>140</v>
      </c>
      <c r="E97" s="0" t="e">
        <f aca="true">INDIRECT("'Ответы на форму (1)'!I"&amp;$G97,TRUE())</f>
        <v>#REF!</v>
      </c>
      <c r="F97" s="0" t="e">
        <f aca="true">INDIRECT("'Ответы на форму (1)'!J"&amp;$G97,TRUE())</f>
        <v>#REF!</v>
      </c>
      <c r="G97" s="1" t="n">
        <v>75</v>
      </c>
    </row>
    <row r="98" customFormat="false" ht="15.75" hidden="false" customHeight="false" outlineLevel="0" collapsed="false">
      <c r="A98" s="0" t="e">
        <f aca="true">INDIRECT("'Ответы на форму (1)'!B"&amp;$G98,TRUE())</f>
        <v>#REF!</v>
      </c>
      <c r="B98" s="0" t="e">
        <f aca="true">INDIRECT("'Ответы на форму (1)'!C"&amp;$G98,TRUE())</f>
        <v>#REF!</v>
      </c>
      <c r="C98" s="0" t="e">
        <f aca="true">INDIRECT("'Ответы на форму (1)'!D"&amp;$G98,TRUE())</f>
        <v>#REF!</v>
      </c>
      <c r="D98" s="0" t="n">
        <f aca="false">IFERROR(__xludf.dummyfunction("iferror(VALUE(REGEXEXTRACT(TEXT(INDIRECT(""'Ответы на форму (1)'!E""&amp;$G98,TRUE),""####""),""[0-9]+"")),INDIRECT(""'Ответы на форму (1)'!E""&amp;$G98,TRUE))"),149)</f>
        <v>149</v>
      </c>
      <c r="E98" s="0" t="e">
        <f aca="true">INDIRECT("'Ответы на форму (1)'!I"&amp;$G98,TRUE())</f>
        <v>#REF!</v>
      </c>
      <c r="F98" s="0" t="e">
        <f aca="true">INDIRECT("'Ответы на форму (1)'!J"&amp;$G98,TRUE())</f>
        <v>#REF!</v>
      </c>
      <c r="G98" s="1" t="n">
        <v>91</v>
      </c>
    </row>
    <row r="99" customFormat="false" ht="15.75" hidden="false" customHeight="false" outlineLevel="0" collapsed="false">
      <c r="A99" s="0" t="e">
        <f aca="true">INDIRECT("'Ответы на форму (1)'!B"&amp;$G99,TRUE())</f>
        <v>#REF!</v>
      </c>
      <c r="B99" s="0" t="e">
        <f aca="true">INDIRECT("'Ответы на форму (1)'!C"&amp;$G99,TRUE())</f>
        <v>#REF!</v>
      </c>
      <c r="C99" s="0" t="e">
        <f aca="true">INDIRECT("'Ответы на форму (1)'!D"&amp;$G99,TRUE())</f>
        <v>#REF!</v>
      </c>
      <c r="D99" s="0" t="n">
        <f aca="false">IFERROR(__xludf.dummyfunction("iferror(VALUE(REGEXEXTRACT(TEXT(INDIRECT(""'Ответы на форму (1)'!E""&amp;$G99,TRUE),""####""),""[0-9]+"")),INDIRECT(""'Ответы на форму (1)'!E""&amp;$G99,TRUE))"),1)</f>
        <v>1</v>
      </c>
      <c r="E99" s="0" t="e">
        <f aca="true">INDIRECT("'Ответы на форму (1)'!I"&amp;$G99,TRUE())</f>
        <v>#REF!</v>
      </c>
      <c r="F99" s="0" t="e">
        <f aca="true">INDIRECT("'Ответы на форму (1)'!J"&amp;$G99,TRUE())</f>
        <v>#REF!</v>
      </c>
      <c r="G99" s="1" t="n">
        <v>141</v>
      </c>
    </row>
    <row r="100" customFormat="false" ht="15.75" hidden="false" customHeight="false" outlineLevel="0" collapsed="false">
      <c r="A100" s="0" t="e">
        <f aca="true">INDIRECT("'Ответы на форму (1)'!B"&amp;$G100,TRUE())</f>
        <v>#REF!</v>
      </c>
      <c r="B100" s="0" t="e">
        <f aca="true">INDIRECT("'Ответы на форму (1)'!C"&amp;$G100,TRUE())</f>
        <v>#REF!</v>
      </c>
      <c r="C100" s="0" t="e">
        <f aca="true">INDIRECT("'Ответы на форму (1)'!D"&amp;$G100,TRUE())</f>
        <v>#REF!</v>
      </c>
      <c r="D100" s="0" t="n">
        <f aca="false">IFERROR(__xludf.dummyfunction("iferror(VALUE(REGEXEXTRACT(TEXT(INDIRECT(""'Ответы на форму (1)'!E""&amp;$G100,TRUE),""####""),""[0-9]+"")),INDIRECT(""'Ответы на форму (1)'!E""&amp;$G100,TRUE))"),117)</f>
        <v>117</v>
      </c>
      <c r="E100" s="0" t="e">
        <f aca="true">INDIRECT("'Ответы на форму (1)'!I"&amp;$G100,TRUE())</f>
        <v>#REF!</v>
      </c>
      <c r="F100" s="0" t="e">
        <f aca="true">INDIRECT("'Ответы на форму (1)'!J"&amp;$G100,TRUE())</f>
        <v>#REF!</v>
      </c>
      <c r="G100" s="1" t="n">
        <v>132</v>
      </c>
    </row>
    <row r="101" customFormat="false" ht="15.75" hidden="false" customHeight="false" outlineLevel="0" collapsed="false">
      <c r="A101" s="0" t="e">
        <f aca="true">INDIRECT("'Ответы на форму (1)'!B"&amp;$G101,TRUE())</f>
        <v>#REF!</v>
      </c>
      <c r="B101" s="0" t="e">
        <f aca="true">INDIRECT("'Ответы на форму (1)'!C"&amp;$G101,TRUE())</f>
        <v>#REF!</v>
      </c>
      <c r="C101" s="0" t="e">
        <f aca="true">INDIRECT("'Ответы на форму (1)'!D"&amp;$G101,TRUE())</f>
        <v>#REF!</v>
      </c>
      <c r="D101" s="0" t="n">
        <f aca="false">IFERROR(__xludf.dummyfunction("iferror(VALUE(REGEXEXTRACT(TEXT(INDIRECT(""'Ответы на форму (1)'!E""&amp;$G101,TRUE),""####""),""[0-9]+"")),INDIRECT(""'Ответы на форму (1)'!E""&amp;$G101,TRUE))"),166)</f>
        <v>166</v>
      </c>
      <c r="E101" s="0" t="e">
        <f aca="true">INDIRECT("'Ответы на форму (1)'!I"&amp;$G101,TRUE())</f>
        <v>#REF!</v>
      </c>
      <c r="F101" s="0" t="e">
        <f aca="true">INDIRECT("'Ответы на форму (1)'!J"&amp;$G101,TRUE())</f>
        <v>#REF!</v>
      </c>
      <c r="G101" s="1" t="n">
        <v>108</v>
      </c>
    </row>
    <row r="102" customFormat="false" ht="15.75" hidden="false" customHeight="false" outlineLevel="0" collapsed="false">
      <c r="A102" s="0" t="e">
        <f aca="true">INDIRECT("'Ответы на форму (1)'!B"&amp;$G102,TRUE())</f>
        <v>#REF!</v>
      </c>
      <c r="B102" s="0" t="e">
        <f aca="true">INDIRECT("'Ответы на форму (1)'!C"&amp;$G102,TRUE())</f>
        <v>#REF!</v>
      </c>
      <c r="C102" s="0" t="e">
        <f aca="true">INDIRECT("'Ответы на форму (1)'!D"&amp;$G102,TRUE())</f>
        <v>#REF!</v>
      </c>
      <c r="D102" s="0" t="n">
        <f aca="false">IFERROR(__xludf.dummyfunction("iferror(VALUE(REGEXEXTRACT(TEXT(INDIRECT(""'Ответы на форму (1)'!E""&amp;$G102,TRUE),""####""),""[0-9]+"")),INDIRECT(""'Ответы на форму (1)'!E""&amp;$G102,TRUE))"),117)</f>
        <v>117</v>
      </c>
      <c r="E102" s="0" t="e">
        <f aca="true">INDIRECT("'Ответы на форму (1)'!I"&amp;$G102,TRUE())</f>
        <v>#REF!</v>
      </c>
      <c r="F102" s="0" t="e">
        <f aca="true">INDIRECT("'Ответы на форму (1)'!J"&amp;$G102,TRUE())</f>
        <v>#REF!</v>
      </c>
      <c r="G102" s="1" t="n">
        <v>112</v>
      </c>
    </row>
    <row r="103" customFormat="false" ht="15.75" hidden="false" customHeight="false" outlineLevel="0" collapsed="false">
      <c r="A103" s="0" t="e">
        <f aca="true">INDIRECT("'Ответы на форму (1)'!B"&amp;$G103,TRUE())</f>
        <v>#REF!</v>
      </c>
      <c r="B103" s="0" t="e">
        <f aca="true">INDIRECT("'Ответы на форму (1)'!C"&amp;$G103,TRUE())</f>
        <v>#REF!</v>
      </c>
      <c r="C103" s="0" t="e">
        <f aca="true">INDIRECT("'Ответы на форму (1)'!D"&amp;$G103,TRUE())</f>
        <v>#REF!</v>
      </c>
      <c r="D103" s="0" t="n">
        <f aca="false">IFERROR(__xludf.dummyfunction("iferror(VALUE(REGEXEXTRACT(TEXT(INDIRECT(""'Ответы на форму (1)'!E""&amp;$G103,TRUE),""####""),""[0-9]+"")),INDIRECT(""'Ответы на форму (1)'!E""&amp;$G103,TRUE))"),117)</f>
        <v>117</v>
      </c>
      <c r="E103" s="0" t="e">
        <f aca="true">INDIRECT("'Ответы на форму (1)'!I"&amp;$G103,TRUE())</f>
        <v>#REF!</v>
      </c>
      <c r="F103" s="0" t="e">
        <f aca="true">INDIRECT("'Ответы на форму (1)'!J"&amp;$G103,TRUE())</f>
        <v>#REF!</v>
      </c>
      <c r="G103" s="1" t="n">
        <v>139</v>
      </c>
    </row>
    <row r="104" customFormat="false" ht="15.75" hidden="false" customHeight="false" outlineLevel="0" collapsed="false">
      <c r="A104" s="0" t="e">
        <f aca="true">INDIRECT("'Ответы на форму (1)'!B"&amp;$G104,TRUE())</f>
        <v>#REF!</v>
      </c>
      <c r="B104" s="0" t="e">
        <f aca="true">INDIRECT("'Ответы на форму (1)'!C"&amp;$G104,TRUE())</f>
        <v>#REF!</v>
      </c>
      <c r="C104" s="0" t="e">
        <f aca="true">INDIRECT("'Ответы на форму (1)'!D"&amp;$G104,TRUE())</f>
        <v>#REF!</v>
      </c>
      <c r="D104" s="0" t="n">
        <f aca="false">IFERROR(__xludf.dummyfunction("iferror(VALUE(REGEXEXTRACT(TEXT(INDIRECT(""'Ответы на форму (1)'!E""&amp;$G104,TRUE),""####""),""[0-9]+"")),INDIRECT(""'Ответы на форму (1)'!E""&amp;$G104,TRUE))"),9)</f>
        <v>9</v>
      </c>
      <c r="E104" s="0" t="e">
        <f aca="true">INDIRECT("'Ответы на форму (1)'!I"&amp;$G104,TRUE())</f>
        <v>#REF!</v>
      </c>
      <c r="F104" s="0" t="e">
        <f aca="true">INDIRECT("'Ответы на форму (1)'!J"&amp;$G104,TRUE())</f>
        <v>#REF!</v>
      </c>
      <c r="G104" s="1" t="n">
        <v>143</v>
      </c>
    </row>
    <row r="105" customFormat="false" ht="15.75" hidden="false" customHeight="false" outlineLevel="0" collapsed="false">
      <c r="A105" s="0" t="e">
        <f aca="true">INDIRECT("'Ответы на форму (1)'!B"&amp;$G105,TRUE())</f>
        <v>#REF!</v>
      </c>
      <c r="B105" s="0" t="e">
        <f aca="true">INDIRECT("'Ответы на форму (1)'!C"&amp;$G105,TRUE())</f>
        <v>#REF!</v>
      </c>
      <c r="C105" s="0" t="e">
        <f aca="true">INDIRECT("'Ответы на форму (1)'!D"&amp;$G105,TRUE())</f>
        <v>#REF!</v>
      </c>
      <c r="D105" s="0" t="n">
        <f aca="false">IFERROR(__xludf.dummyfunction("iferror(VALUE(REGEXEXTRACT(TEXT(INDIRECT(""'Ответы на форму (1)'!E""&amp;$G105,TRUE),""####""),""[0-9]+"")),INDIRECT(""'Ответы на форму (1)'!E""&amp;$G105,TRUE))"),117)</f>
        <v>117</v>
      </c>
      <c r="E105" s="0" t="e">
        <f aca="true">INDIRECT("'Ответы на форму (1)'!I"&amp;$G105,TRUE())</f>
        <v>#REF!</v>
      </c>
      <c r="F105" s="0" t="e">
        <f aca="true">INDIRECT("'Ответы на форму (1)'!J"&amp;$G105,TRUE())</f>
        <v>#REF!</v>
      </c>
      <c r="G105" s="1" t="n">
        <v>92</v>
      </c>
    </row>
    <row r="106" customFormat="false" ht="15.75" hidden="false" customHeight="false" outlineLevel="0" collapsed="false">
      <c r="A106" s="0" t="e">
        <f aca="true">INDIRECT("'Ответы на форму (1)'!B"&amp;$G106,TRUE())</f>
        <v>#REF!</v>
      </c>
      <c r="B106" s="0" t="e">
        <f aca="true">INDIRECT("'Ответы на форму (1)'!C"&amp;$G106,TRUE())</f>
        <v>#REF!</v>
      </c>
      <c r="C106" s="0" t="e">
        <f aca="true">INDIRECT("'Ответы на форму (1)'!D"&amp;$G106,TRUE())</f>
        <v>#REF!</v>
      </c>
      <c r="D106" s="0" t="n">
        <f aca="false">IFERROR(__xludf.dummyfunction("iferror(VALUE(REGEXEXTRACT(TEXT(INDIRECT(""'Ответы на форму (1)'!E""&amp;$G106,TRUE),""####""),""[0-9]+"")),INDIRECT(""'Ответы на форму (1)'!E""&amp;$G106,TRUE))"),117)</f>
        <v>117</v>
      </c>
      <c r="E106" s="0" t="e">
        <f aca="true">INDIRECT("'Ответы на форму (1)'!I"&amp;$G106,TRUE())</f>
        <v>#REF!</v>
      </c>
      <c r="F106" s="0" t="e">
        <f aca="true">INDIRECT("'Ответы на форму (1)'!J"&amp;$G106,TRUE())</f>
        <v>#REF!</v>
      </c>
      <c r="G106" s="1" t="n">
        <v>11</v>
      </c>
    </row>
    <row r="107" customFormat="false" ht="15.75" hidden="false" customHeight="false" outlineLevel="0" collapsed="false">
      <c r="A107" s="0" t="e">
        <f aca="true">INDIRECT("'Ответы на форму (1)'!B"&amp;$G107,TRUE())</f>
        <v>#REF!</v>
      </c>
      <c r="B107" s="0" t="e">
        <f aca="true">INDIRECT("'Ответы на форму (1)'!C"&amp;$G107,TRUE())</f>
        <v>#REF!</v>
      </c>
      <c r="C107" s="0" t="e">
        <f aca="true">INDIRECT("'Ответы на форму (1)'!D"&amp;$G107,TRUE())</f>
        <v>#REF!</v>
      </c>
      <c r="D107" s="0" t="n">
        <f aca="false">IFERROR(__xludf.dummyfunction("iferror(VALUE(REGEXEXTRACT(TEXT(INDIRECT(""'Ответы на форму (1)'!E""&amp;$G107,TRUE),""####""),""[0-9]+"")),INDIRECT(""'Ответы на форму (1)'!E""&amp;$G107,TRUE))"),44)</f>
        <v>44</v>
      </c>
      <c r="E107" s="0" t="e">
        <f aca="true">INDIRECT("'Ответы на форму (1)'!I"&amp;$G107,TRUE())</f>
        <v>#REF!</v>
      </c>
      <c r="F107" s="0" t="e">
        <f aca="true">INDIRECT("'Ответы на форму (1)'!J"&amp;$G107,TRUE())</f>
        <v>#REF!</v>
      </c>
      <c r="G107" s="1" t="n">
        <v>136</v>
      </c>
    </row>
    <row r="108" customFormat="false" ht="15.75" hidden="false" customHeight="false" outlineLevel="0" collapsed="false">
      <c r="A108" s="0" t="e">
        <f aca="true">INDIRECT("'Ответы на форму (1)'!B"&amp;$G108,TRUE())</f>
        <v>#REF!</v>
      </c>
      <c r="B108" s="0" t="e">
        <f aca="true">INDIRECT("'Ответы на форму (1)'!C"&amp;$G108,TRUE())</f>
        <v>#REF!</v>
      </c>
      <c r="C108" s="0" t="e">
        <f aca="true">INDIRECT("'Ответы на форму (1)'!D"&amp;$G108,TRUE())</f>
        <v>#REF!</v>
      </c>
      <c r="D108" s="0" t="n">
        <f aca="false">IFERROR(__xludf.dummyfunction("iferror(VALUE(REGEXEXTRACT(TEXT(INDIRECT(""'Ответы на форму (1)'!E""&amp;$G108,TRUE),""####""),""[0-9]+"")),INDIRECT(""'Ответы на форму (1)'!E""&amp;$G108,TRUE))"),62)</f>
        <v>62</v>
      </c>
      <c r="E108" s="0" t="e">
        <f aca="true">INDIRECT("'Ответы на форму (1)'!I"&amp;$G108,TRUE())</f>
        <v>#REF!</v>
      </c>
      <c r="F108" s="0" t="e">
        <f aca="true">INDIRECT("'Ответы на форму (1)'!J"&amp;$G108,TRUE())</f>
        <v>#REF!</v>
      </c>
      <c r="G108" s="1" t="n">
        <v>86</v>
      </c>
    </row>
    <row r="109" customFormat="false" ht="15.75" hidden="false" customHeight="false" outlineLevel="0" collapsed="false">
      <c r="A109" s="0" t="e">
        <f aca="true">INDIRECT("'Ответы на форму (1)'!B"&amp;$G109,TRUE())</f>
        <v>#REF!</v>
      </c>
      <c r="B109" s="0" t="e">
        <f aca="true">INDIRECT("'Ответы на форму (1)'!C"&amp;$G109,TRUE())</f>
        <v>#REF!</v>
      </c>
      <c r="C109" s="0" t="e">
        <f aca="true">INDIRECT("'Ответы на форму (1)'!D"&amp;$G109,TRUE())</f>
        <v>#REF!</v>
      </c>
      <c r="D109" s="0" t="n">
        <f aca="false">IFERROR(__xludf.dummyfunction("iferror(VALUE(REGEXEXTRACT(TEXT(INDIRECT(""'Ответы на форму (1)'!E""&amp;$G109,TRUE),""####""),""[0-9]+"")),INDIRECT(""'Ответы на форму (1)'!E""&amp;$G109,TRUE))"),62)</f>
        <v>62</v>
      </c>
      <c r="E109" s="0" t="e">
        <f aca="true">INDIRECT("'Ответы на форму (1)'!I"&amp;$G109,TRUE())</f>
        <v>#REF!</v>
      </c>
      <c r="F109" s="0" t="e">
        <f aca="true">INDIRECT("'Ответы на форму (1)'!J"&amp;$G109,TRUE())</f>
        <v>#REF!</v>
      </c>
      <c r="G109" s="1" t="n">
        <v>79</v>
      </c>
    </row>
    <row r="110" customFormat="false" ht="15.75" hidden="false" customHeight="false" outlineLevel="0" collapsed="false">
      <c r="A110" s="1" t="s">
        <v>729</v>
      </c>
      <c r="B110" s="1" t="s">
        <v>730</v>
      </c>
      <c r="C110" s="1" t="n">
        <v>9</v>
      </c>
      <c r="D110" s="1" t="n">
        <v>115</v>
      </c>
      <c r="E110" s="1" t="s">
        <v>40</v>
      </c>
      <c r="F110" s="1" t="s">
        <v>109</v>
      </c>
      <c r="G110" s="1" t="n">
        <v>179</v>
      </c>
    </row>
    <row r="111" customFormat="false" ht="15.75" hidden="false" customHeight="false" outlineLevel="0" collapsed="false">
      <c r="A111" s="0" t="e">
        <f aca="true">INDIRECT("'Ответы на форму (1)'!B"&amp;$G111,TRUE())</f>
        <v>#REF!</v>
      </c>
      <c r="B111" s="0" t="e">
        <f aca="true">INDIRECT("'Ответы на форму (1)'!C"&amp;$G111,TRUE())</f>
        <v>#REF!</v>
      </c>
      <c r="C111" s="0" t="e">
        <f aca="true">INDIRECT("'Ответы на форму (1)'!D"&amp;$G111,TRUE())</f>
        <v>#REF!</v>
      </c>
      <c r="D111" s="0" t="n">
        <f aca="false">IFERROR(__xludf.dummyfunction("iferror(VALUE(REGEXEXTRACT(TEXT(INDIRECT(""'Ответы на форму (1)'!E""&amp;$G111,TRUE),""####""),""[0-9]+"")),INDIRECT(""'Ответы на форму (1)'!E""&amp;$G111,TRUE))"),117)</f>
        <v>117</v>
      </c>
      <c r="E111" s="0" t="e">
        <f aca="true">INDIRECT("'Ответы на форму (1)'!I"&amp;$G111,TRUE())</f>
        <v>#REF!</v>
      </c>
      <c r="F111" s="0" t="e">
        <f aca="true">INDIRECT("'Ответы на форму (1)'!J"&amp;$G111,TRUE())</f>
        <v>#REF!</v>
      </c>
      <c r="G111" s="1" t="n">
        <v>60</v>
      </c>
    </row>
    <row r="112" customFormat="false" ht="15.75" hidden="false" customHeight="false" outlineLevel="0" collapsed="false">
      <c r="A112" s="0" t="e">
        <f aca="true">INDIRECT("'Ответы на форму (1)'!B"&amp;$G112,TRUE())</f>
        <v>#REF!</v>
      </c>
      <c r="B112" s="0" t="e">
        <f aca="true">INDIRECT("'Ответы на форму (1)'!C"&amp;$G112,TRUE())</f>
        <v>#REF!</v>
      </c>
      <c r="C112" s="0" t="e">
        <f aca="true">INDIRECT("'Ответы на форму (1)'!D"&amp;$G112,TRUE())</f>
        <v>#REF!</v>
      </c>
      <c r="D112" s="0" t="n">
        <f aca="false">IFERROR(__xludf.dummyfunction("iferror(VALUE(REGEXEXTRACT(TEXT(INDIRECT(""'Ответы на форму (1)'!E""&amp;$G112,TRUE),""####""),""[0-9]+"")),INDIRECT(""'Ответы на форму (1)'!E""&amp;$G112,TRUE))"),117)</f>
        <v>117</v>
      </c>
      <c r="E112" s="0" t="e">
        <f aca="true">INDIRECT("'Ответы на форму (1)'!I"&amp;$G112,TRUE())</f>
        <v>#REF!</v>
      </c>
      <c r="F112" s="0" t="e">
        <f aca="true">INDIRECT("'Ответы на форму (1)'!J"&amp;$G112,TRUE())</f>
        <v>#REF!</v>
      </c>
      <c r="G112" s="1" t="n">
        <v>130</v>
      </c>
    </row>
    <row r="113" customFormat="false" ht="15.75" hidden="false" customHeight="false" outlineLevel="0" collapsed="false">
      <c r="A113" s="1" t="s">
        <v>706</v>
      </c>
      <c r="B113" s="1" t="s">
        <v>115</v>
      </c>
      <c r="C113" s="1" t="n">
        <v>10</v>
      </c>
      <c r="D113" s="1" t="n">
        <v>115</v>
      </c>
      <c r="E113" s="1" t="s">
        <v>22</v>
      </c>
      <c r="F113" s="1" t="s">
        <v>45</v>
      </c>
      <c r="G113" s="1" t="n">
        <v>181</v>
      </c>
    </row>
    <row r="114" customFormat="false" ht="15.75" hidden="false" customHeight="false" outlineLevel="0" collapsed="false">
      <c r="A114" s="0" t="e">
        <f aca="true">INDIRECT("'Ответы на форму (1)'!B"&amp;$G114,TRUE())</f>
        <v>#REF!</v>
      </c>
      <c r="B114" s="0" t="e">
        <f aca="true">INDIRECT("'Ответы на форму (1)'!C"&amp;$G114,TRUE())</f>
        <v>#REF!</v>
      </c>
      <c r="C114" s="0" t="e">
        <f aca="true">INDIRECT("'Ответы на форму (1)'!D"&amp;$G114,TRUE())</f>
        <v>#REF!</v>
      </c>
      <c r="D114" s="0" t="n">
        <f aca="false">IFERROR(__xludf.dummyfunction("iferror(VALUE(REGEXEXTRACT(TEXT(INDIRECT(""'Ответы на форму (1)'!E""&amp;$G114,TRUE),""####""),""[0-9]+"")),INDIRECT(""'Ответы на форму (1)'!E""&amp;$G114,TRUE))"),84)</f>
        <v>84</v>
      </c>
      <c r="E114" s="0" t="e">
        <f aca="true">INDIRECT("'Ответы на форму (1)'!I"&amp;$G114,TRUE())</f>
        <v>#REF!</v>
      </c>
      <c r="F114" s="0" t="e">
        <f aca="true">INDIRECT("'Ответы на форму (1)'!J"&amp;$G114,TRUE())</f>
        <v>#REF!</v>
      </c>
      <c r="G114" s="1" t="n">
        <v>106</v>
      </c>
    </row>
    <row r="115" customFormat="false" ht="15.75" hidden="false" customHeight="false" outlineLevel="0" collapsed="false">
      <c r="A115" s="0" t="e">
        <f aca="true">INDIRECT("'Ответы на форму (1)'!B"&amp;$G115,TRUE())</f>
        <v>#REF!</v>
      </c>
      <c r="B115" s="0" t="e">
        <f aca="true">INDIRECT("'Ответы на форму (1)'!C"&amp;$G115,TRUE())</f>
        <v>#REF!</v>
      </c>
      <c r="C115" s="0" t="e">
        <f aca="true">INDIRECT("'Ответы на форму (1)'!D"&amp;$G115,TRUE())</f>
        <v>#REF!</v>
      </c>
      <c r="D115" s="0" t="n">
        <f aca="false">IFERROR(__xludf.dummyfunction("iferror(VALUE(REGEXEXTRACT(TEXT(INDIRECT(""'Ответы на форму (1)'!E""&amp;$G115,TRUE),""####""),""[0-9]+"")),INDIRECT(""'Ответы на форму (1)'!E""&amp;$G115,TRUE))"),19)</f>
        <v>19</v>
      </c>
      <c r="E115" s="0" t="e">
        <f aca="true">INDIRECT("'Ответы на форму (1)'!I"&amp;$G115,TRUE())</f>
        <v>#REF!</v>
      </c>
      <c r="F115" s="0" t="e">
        <f aca="true">INDIRECT("'Ответы на форму (1)'!J"&amp;$G115,TRUE())</f>
        <v>#REF!</v>
      </c>
      <c r="G115" s="1" t="n">
        <v>172</v>
      </c>
    </row>
    <row r="116" customFormat="false" ht="15.75" hidden="false" customHeight="false" outlineLevel="0" collapsed="false">
      <c r="A116" s="1" t="s">
        <v>702</v>
      </c>
      <c r="B116" s="1" t="s">
        <v>509</v>
      </c>
      <c r="C116" s="1" t="n">
        <v>10</v>
      </c>
      <c r="D116" s="1" t="n">
        <v>117</v>
      </c>
      <c r="E116" s="1" t="s">
        <v>14</v>
      </c>
      <c r="F116" s="1" t="s">
        <v>65</v>
      </c>
      <c r="G116" s="1" t="n">
        <v>185</v>
      </c>
    </row>
    <row r="117" customFormat="false" ht="15.75" hidden="false" customHeight="false" outlineLevel="0" collapsed="false">
      <c r="A117" s="0" t="e">
        <f aca="true">INDIRECT("'Ответы на форму (1)'!B"&amp;$G117,TRUE())</f>
        <v>#REF!</v>
      </c>
      <c r="B117" s="0" t="e">
        <f aca="true">INDIRECT("'Ответы на форму (1)'!C"&amp;$G117,TRUE())</f>
        <v>#REF!</v>
      </c>
      <c r="C117" s="0" t="e">
        <f aca="true">INDIRECT("'Ответы на форму (1)'!D"&amp;$G117,TRUE())</f>
        <v>#REF!</v>
      </c>
      <c r="D117" s="0" t="n">
        <f aca="false">IFERROR(__xludf.dummyfunction("iferror(VALUE(REGEXEXTRACT(TEXT(INDIRECT(""'Ответы на форму (1)'!E""&amp;$G117,TRUE),""####""),""[0-9]+"")),INDIRECT(""'Ответы на форму (1)'!E""&amp;$G117,TRUE))"),117)</f>
        <v>117</v>
      </c>
      <c r="E117" s="0" t="e">
        <f aca="true">INDIRECT("'Ответы на форму (1)'!I"&amp;$G117,TRUE())</f>
        <v>#REF!</v>
      </c>
      <c r="F117" s="0" t="e">
        <f aca="true">INDIRECT("'Ответы на форму (1)'!J"&amp;$G117,TRUE())</f>
        <v>#REF!</v>
      </c>
      <c r="G117" s="1" t="n">
        <v>94</v>
      </c>
    </row>
    <row r="118" customFormat="false" ht="15.75" hidden="false" customHeight="false" outlineLevel="0" collapsed="false">
      <c r="A118" s="0" t="e">
        <f aca="true">INDIRECT("'Ответы на форму (1)'!B"&amp;$G118,TRUE())</f>
        <v>#REF!</v>
      </c>
      <c r="B118" s="0" t="e">
        <f aca="true">INDIRECT("'Ответы на форму (1)'!C"&amp;$G118,TRUE())</f>
        <v>#REF!</v>
      </c>
      <c r="C118" s="0" t="e">
        <f aca="true">INDIRECT("'Ответы на форму (1)'!D"&amp;$G118,TRUE())</f>
        <v>#REF!</v>
      </c>
      <c r="D118" s="0" t="n">
        <f aca="false">IFERROR(__xludf.dummyfunction("iferror(VALUE(REGEXEXTRACT(TEXT(INDIRECT(""'Ответы на форму (1)'!E""&amp;$G118,TRUE),""####""),""[0-9]+"")),INDIRECT(""'Ответы на форму (1)'!E""&amp;$G118,TRUE))"),64)</f>
        <v>64</v>
      </c>
      <c r="E118" s="0" t="e">
        <f aca="true">INDIRECT("'Ответы на форму (1)'!I"&amp;$G118,TRUE())</f>
        <v>#REF!</v>
      </c>
      <c r="F118" s="0" t="e">
        <f aca="true">INDIRECT("'Ответы на форму (1)'!J"&amp;$G118,TRUE())</f>
        <v>#REF!</v>
      </c>
      <c r="G118" s="1" t="n">
        <v>151</v>
      </c>
    </row>
    <row r="119" customFormat="false" ht="15.75" hidden="false" customHeight="false" outlineLevel="0" collapsed="false">
      <c r="A119" s="0" t="e">
        <f aca="true">INDIRECT("'Ответы на форму (1)'!B"&amp;$G119,TRUE())</f>
        <v>#REF!</v>
      </c>
      <c r="B119" s="0" t="e">
        <f aca="true">INDIRECT("'Ответы на форму (1)'!C"&amp;$G119,TRUE())</f>
        <v>#REF!</v>
      </c>
      <c r="C119" s="0" t="e">
        <f aca="true">INDIRECT("'Ответы на форму (1)'!D"&amp;$G119,TRUE())</f>
        <v>#REF!</v>
      </c>
      <c r="D119" s="0" t="n">
        <f aca="false">IFERROR(__xludf.dummyfunction("iferror(VALUE(REGEXEXTRACT(TEXT(INDIRECT(""'Ответы на форму (1)'!E""&amp;$G119,TRUE),""####""),""[0-9]+"")),INDIRECT(""'Ответы на форму (1)'!E""&amp;$G119,TRUE))"),36)</f>
        <v>36</v>
      </c>
      <c r="E119" s="0" t="e">
        <f aca="true">INDIRECT("'Ответы на форму (1)'!I"&amp;$G119,TRUE())</f>
        <v>#REF!</v>
      </c>
      <c r="F119" s="0" t="e">
        <f aca="true">INDIRECT("'Ответы на форму (1)'!J"&amp;$G119,TRUE())</f>
        <v>#REF!</v>
      </c>
      <c r="G119" s="1" t="n">
        <v>131</v>
      </c>
    </row>
    <row r="120" customFormat="false" ht="15.75" hidden="false" customHeight="false" outlineLevel="0" collapsed="false">
      <c r="A120" s="0" t="e">
        <f aca="true">INDIRECT("'Ответы на форму (1)'!B"&amp;$G120,TRUE())</f>
        <v>#REF!</v>
      </c>
      <c r="B120" s="0" t="e">
        <f aca="true">INDIRECT("'Ответы на форму (1)'!C"&amp;$G120,TRUE())</f>
        <v>#REF!</v>
      </c>
      <c r="C120" s="0" t="e">
        <f aca="true">INDIRECT("'Ответы на форму (1)'!D"&amp;$G120,TRUE())</f>
        <v>#REF!</v>
      </c>
      <c r="D120" s="0" t="n">
        <f aca="false">IFERROR(__xludf.dummyfunction("iferror(VALUE(REGEXEXTRACT(TEXT(INDIRECT(""'Ответы на форму (1)'!E""&amp;$G120,TRUE),""####""),""[0-9]+"")),INDIRECT(""'Ответы на форму (1)'!E""&amp;$G120,TRUE))"),117)</f>
        <v>117</v>
      </c>
      <c r="E120" s="0" t="e">
        <f aca="true">INDIRECT("'Ответы на форму (1)'!I"&amp;$G120,TRUE())</f>
        <v>#REF!</v>
      </c>
      <c r="F120" s="0" t="e">
        <f aca="true">INDIRECT("'Ответы на форму (1)'!J"&amp;$G120,TRUE())</f>
        <v>#REF!</v>
      </c>
      <c r="G120" s="1" t="n">
        <v>33</v>
      </c>
    </row>
    <row r="121" customFormat="false" ht="15.75" hidden="false" customHeight="false" outlineLevel="0" collapsed="false">
      <c r="A121" s="0" t="e">
        <f aca="true">INDIRECT("'Ответы на форму (1)'!B"&amp;$G121,TRUE())</f>
        <v>#REF!</v>
      </c>
      <c r="B121" s="0" t="e">
        <f aca="true">INDIRECT("'Ответы на форму (1)'!C"&amp;$G121,TRUE())</f>
        <v>#REF!</v>
      </c>
      <c r="C121" s="0" t="e">
        <f aca="true">INDIRECT("'Ответы на форму (1)'!D"&amp;$G121,TRUE())</f>
        <v>#REF!</v>
      </c>
      <c r="D121" s="0" t="n">
        <f aca="false">IFERROR(__xludf.dummyfunction("iferror(VALUE(REGEXEXTRACT(TEXT(INDIRECT(""'Ответы на форму (1)'!E""&amp;$G121,TRUE),""####""),""[0-9]+"")),INDIRECT(""'Ответы на форму (1)'!E""&amp;$G121,TRUE))"),139)</f>
        <v>139</v>
      </c>
      <c r="E121" s="0" t="e">
        <f aca="true">INDIRECT("'Ответы на форму (1)'!I"&amp;$G121,TRUE())</f>
        <v>#REF!</v>
      </c>
      <c r="F121" s="0" t="e">
        <f aca="true">INDIRECT("'Ответы на форму (1)'!J"&amp;$G121,TRUE())</f>
        <v>#REF!</v>
      </c>
      <c r="G121" s="1" t="n">
        <v>72</v>
      </c>
    </row>
    <row r="122" customFormat="false" ht="15.75" hidden="false" customHeight="false" outlineLevel="0" collapsed="false">
      <c r="A122" s="1" t="s">
        <v>725</v>
      </c>
      <c r="B122" s="1" t="s">
        <v>61</v>
      </c>
      <c r="C122" s="1" t="n">
        <v>9</v>
      </c>
      <c r="D122" s="1" t="n">
        <v>115</v>
      </c>
      <c r="E122" s="1" t="s">
        <v>70</v>
      </c>
      <c r="F122" s="1" t="s">
        <v>51</v>
      </c>
      <c r="G122" s="1" t="n">
        <v>178</v>
      </c>
    </row>
    <row r="123" customFormat="false" ht="15.75" hidden="false" customHeight="false" outlineLevel="0" collapsed="false">
      <c r="A123" s="0" t="e">
        <f aca="true">INDIRECT("'Ответы на форму (1)'!B"&amp;$G123,TRUE())</f>
        <v>#REF!</v>
      </c>
      <c r="B123" s="0" t="e">
        <f aca="true">INDIRECT("'Ответы на форму (1)'!C"&amp;$G123,TRUE())</f>
        <v>#REF!</v>
      </c>
      <c r="C123" s="0" t="e">
        <f aca="true">INDIRECT("'Ответы на форму (1)'!D"&amp;$G123,TRUE())</f>
        <v>#REF!</v>
      </c>
      <c r="D123" s="0" t="n">
        <f aca="false">IFERROR(__xludf.dummyfunction("iferror(VALUE(REGEXEXTRACT(TEXT(INDIRECT(""'Ответы на форму (1)'!E""&amp;$G123,TRUE),""####""),""[0-9]+"")),INDIRECT(""'Ответы на форму (1)'!E""&amp;$G123,TRUE))"),117)</f>
        <v>117</v>
      </c>
      <c r="E123" s="0" t="e">
        <f aca="true">INDIRECT("'Ответы на форму (1)'!I"&amp;$G123,TRUE())</f>
        <v>#REF!</v>
      </c>
      <c r="F123" s="0" t="e">
        <f aca="true">INDIRECT("'Ответы на форму (1)'!J"&amp;$G123,TRUE())</f>
        <v>#REF!</v>
      </c>
      <c r="G123" s="1" t="n">
        <v>149</v>
      </c>
    </row>
    <row r="124" customFormat="false" ht="15.75" hidden="false" customHeight="false" outlineLevel="0" collapsed="false">
      <c r="A124" s="0" t="e">
        <f aca="true">INDIRECT("'Ответы на форму (1)'!B"&amp;$G124,TRUE())</f>
        <v>#REF!</v>
      </c>
      <c r="B124" s="0" t="e">
        <f aca="true">INDIRECT("'Ответы на форму (1)'!C"&amp;$G124,TRUE())</f>
        <v>#REF!</v>
      </c>
      <c r="C124" s="0" t="e">
        <f aca="true">INDIRECT("'Ответы на форму (1)'!D"&amp;$G124,TRUE())</f>
        <v>#REF!</v>
      </c>
      <c r="D124" s="0" t="n">
        <f aca="false">IFERROR(__xludf.dummyfunction("iferror(VALUE(REGEXEXTRACT(TEXT(INDIRECT(""'Ответы на форму (1)'!E""&amp;$G124,TRUE),""####""),""[0-9]+"")),INDIRECT(""'Ответы на форму (1)'!E""&amp;$G124,TRUE))"),149)</f>
        <v>149</v>
      </c>
      <c r="E124" s="0" t="e">
        <f aca="true">INDIRECT("'Ответы на форму (1)'!I"&amp;$G124,TRUE())</f>
        <v>#REF!</v>
      </c>
      <c r="F124" s="0" t="e">
        <f aca="true">INDIRECT("'Ответы на форму (1)'!J"&amp;$G124,TRUE())</f>
        <v>#REF!</v>
      </c>
      <c r="G124" s="1" t="n">
        <v>80</v>
      </c>
    </row>
    <row r="125" customFormat="false" ht="15.75" hidden="false" customHeight="false" outlineLevel="0" collapsed="false">
      <c r="A125" s="0" t="e">
        <f aca="true">INDIRECT("'Ответы на форму (1)'!B"&amp;$G125,TRUE())</f>
        <v>#REF!</v>
      </c>
      <c r="B125" s="0" t="e">
        <f aca="true">INDIRECT("'Ответы на форму (1)'!C"&amp;$G125,TRUE())</f>
        <v>#REF!</v>
      </c>
      <c r="C125" s="0" t="e">
        <f aca="true">INDIRECT("'Ответы на форму (1)'!D"&amp;$G125,TRUE())</f>
        <v>#REF!</v>
      </c>
      <c r="D125" s="0" t="n">
        <f aca="false">IFERROR(__xludf.dummyfunction("iferror(VALUE(REGEXEXTRACT(TEXT(INDIRECT(""'Ответы на форму (1)'!E""&amp;$G125,TRUE),""####""),""[0-9]+"")),INDIRECT(""'Ответы на форму (1)'!E""&amp;$G125,TRUE))"),149)</f>
        <v>149</v>
      </c>
      <c r="E125" s="0" t="e">
        <f aca="true">INDIRECT("'Ответы на форму (1)'!I"&amp;$G125,TRUE())</f>
        <v>#REF!</v>
      </c>
      <c r="F125" s="0" t="e">
        <f aca="true">INDIRECT("'Ответы на форму (1)'!J"&amp;$G125,TRUE())</f>
        <v>#REF!</v>
      </c>
      <c r="G125" s="1" t="n">
        <v>41</v>
      </c>
    </row>
    <row r="126" customFormat="false" ht="15.75" hidden="false" customHeight="false" outlineLevel="0" collapsed="false">
      <c r="A126" s="0" t="e">
        <f aca="true">INDIRECT("'Ответы на форму (1)'!B"&amp;$G126,TRUE())</f>
        <v>#REF!</v>
      </c>
      <c r="B126" s="0" t="e">
        <f aca="true">INDIRECT("'Ответы на форму (1)'!C"&amp;$G126,TRUE())</f>
        <v>#REF!</v>
      </c>
      <c r="C126" s="0" t="e">
        <f aca="true">INDIRECT("'Ответы на форму (1)'!D"&amp;$G126,TRUE())</f>
        <v>#REF!</v>
      </c>
      <c r="D126" s="0" t="n">
        <f aca="false">IFERROR(__xludf.dummyfunction("iferror(VALUE(REGEXEXTRACT(TEXT(INDIRECT(""'Ответы на форму (1)'!E""&amp;$G126,TRUE),""####""),""[0-9]+"")),INDIRECT(""'Ответы на форму (1)'!E""&amp;$G126,TRUE))"),117)</f>
        <v>117</v>
      </c>
      <c r="E126" s="0" t="e">
        <f aca="true">INDIRECT("'Ответы на форму (1)'!I"&amp;$G126,TRUE())</f>
        <v>#REF!</v>
      </c>
      <c r="F126" s="0" t="e">
        <f aca="true">INDIRECT("'Ответы на форму (1)'!J"&amp;$G126,TRUE())</f>
        <v>#REF!</v>
      </c>
      <c r="G126" s="1" t="n">
        <v>29</v>
      </c>
    </row>
    <row r="127" customFormat="false" ht="15.75" hidden="false" customHeight="false" outlineLevel="0" collapsed="false">
      <c r="A127" s="0" t="e">
        <f aca="true">INDIRECT("'Ответы на форму (1)'!B"&amp;$G127,TRUE())</f>
        <v>#REF!</v>
      </c>
      <c r="B127" s="0" t="e">
        <f aca="true">INDIRECT("'Ответы на форму (1)'!C"&amp;$G127,TRUE())</f>
        <v>#REF!</v>
      </c>
      <c r="C127" s="0" t="e">
        <f aca="true">INDIRECT("'Ответы на форму (1)'!D"&amp;$G127,TRUE())</f>
        <v>#REF!</v>
      </c>
      <c r="D127" s="0" t="n">
        <f aca="false">IFERROR(__xludf.dummyfunction("iferror(VALUE(REGEXEXTRACT(TEXT(INDIRECT(""'Ответы на форму (1)'!E""&amp;$G127,TRUE),""####""),""[0-9]+"")),INDIRECT(""'Ответы на форму (1)'!E""&amp;$G127,TRUE))"),139)</f>
        <v>139</v>
      </c>
      <c r="E127" s="0" t="e">
        <f aca="true">INDIRECT("'Ответы на форму (1)'!I"&amp;$G127,TRUE())</f>
        <v>#REF!</v>
      </c>
      <c r="F127" s="0" t="e">
        <f aca="true">INDIRECT("'Ответы на форму (1)'!J"&amp;$G127,TRUE())</f>
        <v>#REF!</v>
      </c>
      <c r="G127" s="1" t="n">
        <v>116</v>
      </c>
    </row>
    <row r="128" customFormat="false" ht="15.75" hidden="false" customHeight="false" outlineLevel="0" collapsed="false">
      <c r="A128" s="0" t="e">
        <f aca="true">INDIRECT("'Ответы на форму (1)'!B"&amp;$G128,TRUE())</f>
        <v>#REF!</v>
      </c>
      <c r="B128" s="0" t="e">
        <f aca="true">INDIRECT("'Ответы на форму (1)'!C"&amp;$G128,TRUE())</f>
        <v>#REF!</v>
      </c>
      <c r="C128" s="0" t="e">
        <f aca="true">INDIRECT("'Ответы на форму (1)'!D"&amp;$G128,TRUE())</f>
        <v>#REF!</v>
      </c>
      <c r="D128" s="0" t="n">
        <f aca="false">IFERROR(__xludf.dummyfunction("iferror(VALUE(REGEXEXTRACT(TEXT(INDIRECT(""'Ответы на форму (1)'!E""&amp;$G128,TRUE),""####""),""[0-9]+"")),INDIRECT(""'Ответы на форму (1)'!E""&amp;$G128,TRUE))"),19)</f>
        <v>19</v>
      </c>
      <c r="E128" s="0" t="e">
        <f aca="true">INDIRECT("'Ответы на форму (1)'!I"&amp;$G128,TRUE())</f>
        <v>#REF!</v>
      </c>
      <c r="F128" s="0" t="e">
        <f aca="true">INDIRECT("'Ответы на форму (1)'!J"&amp;$G128,TRUE())</f>
        <v>#REF!</v>
      </c>
      <c r="G128" s="1" t="n">
        <v>68</v>
      </c>
    </row>
    <row r="129" customFormat="false" ht="15.75" hidden="false" customHeight="false" outlineLevel="0" collapsed="false">
      <c r="A129" s="0" t="e">
        <f aca="true">INDIRECT("'Ответы на форму (1)'!B"&amp;$G129,TRUE())</f>
        <v>#REF!</v>
      </c>
      <c r="B129" s="0" t="e">
        <f aca="true">INDIRECT("'Ответы на форму (1)'!C"&amp;$G129,TRUE())</f>
        <v>#REF!</v>
      </c>
      <c r="C129" s="0" t="e">
        <f aca="true">INDIRECT("'Ответы на форму (1)'!D"&amp;$G129,TRUE())</f>
        <v>#REF!</v>
      </c>
      <c r="D129" s="0" t="n">
        <f aca="false">IFERROR(__xludf.dummyfunction("iferror(VALUE(REGEXEXTRACT(TEXT(INDIRECT(""'Ответы на форму (1)'!E""&amp;$G129,TRUE),""####""),""[0-9]+"")),INDIRECT(""'Ответы на форму (1)'!E""&amp;$G129,TRUE))"),117)</f>
        <v>117</v>
      </c>
      <c r="E129" s="0" t="e">
        <f aca="true">INDIRECT("'Ответы на форму (1)'!I"&amp;$G129,TRUE())</f>
        <v>#REF!</v>
      </c>
      <c r="F129" s="0" t="e">
        <f aca="true">INDIRECT("'Ответы на форму (1)'!J"&amp;$G129,TRUE())</f>
        <v>#REF!</v>
      </c>
      <c r="G129" s="1" t="n">
        <v>148</v>
      </c>
    </row>
    <row r="130" customFormat="false" ht="15.75" hidden="false" customHeight="false" outlineLevel="0" collapsed="false">
      <c r="A130" s="0" t="e">
        <f aca="true">INDIRECT("'Ответы на форму (1)'!B"&amp;$G130,TRUE())</f>
        <v>#REF!</v>
      </c>
      <c r="B130" s="0" t="e">
        <f aca="true">INDIRECT("'Ответы на форму (1)'!C"&amp;$G130,TRUE())</f>
        <v>#REF!</v>
      </c>
      <c r="C130" s="0" t="e">
        <f aca="true">INDIRECT("'Ответы на форму (1)'!D"&amp;$G130,TRUE())</f>
        <v>#REF!</v>
      </c>
      <c r="D130" s="0" t="n">
        <f aca="false">IFERROR(__xludf.dummyfunction("iferror(VALUE(REGEXEXTRACT(TEXT(INDIRECT(""'Ответы на форму (1)'!E""&amp;$G130,TRUE),""####""),""[0-9]+"")),INDIRECT(""'Ответы на форму (1)'!E""&amp;$G130,TRUE))"),117)</f>
        <v>117</v>
      </c>
      <c r="E130" s="0" t="e">
        <f aca="true">INDIRECT("'Ответы на форму (1)'!I"&amp;$G130,TRUE())</f>
        <v>#REF!</v>
      </c>
      <c r="F130" s="0" t="e">
        <f aca="true">INDIRECT("'Ответы на форму (1)'!J"&amp;$G130,TRUE())</f>
        <v>#REF!</v>
      </c>
      <c r="G130" s="1" t="n">
        <v>54</v>
      </c>
    </row>
    <row r="131" customFormat="false" ht="15.75" hidden="false" customHeight="false" outlineLevel="0" collapsed="false">
      <c r="A131" s="0" t="e">
        <f aca="true">INDIRECT("'Ответы на форму (1)'!B"&amp;$G131,TRUE())</f>
        <v>#REF!</v>
      </c>
      <c r="B131" s="0" t="e">
        <f aca="true">INDIRECT("'Ответы на форму (1)'!C"&amp;$G131,TRUE())</f>
        <v>#REF!</v>
      </c>
      <c r="C131" s="0" t="e">
        <f aca="true">INDIRECT("'Ответы на форму (1)'!D"&amp;$G131,TRUE())</f>
        <v>#REF!</v>
      </c>
      <c r="D131" s="0" t="n">
        <f aca="false">IFERROR(__xludf.dummyfunction("iferror(VALUE(REGEXEXTRACT(TEXT(INDIRECT(""'Ответы на форму (1)'!E""&amp;$G131,TRUE),""####""),""[0-9]+"")),INDIRECT(""'Ответы на форму (1)'!E""&amp;$G131,TRUE))"),19)</f>
        <v>19</v>
      </c>
      <c r="E131" s="0" t="e">
        <f aca="true">INDIRECT("'Ответы на форму (1)'!I"&amp;$G131,TRUE())</f>
        <v>#REF!</v>
      </c>
      <c r="F131" s="0" t="e">
        <f aca="true">INDIRECT("'Ответы на форму (1)'!J"&amp;$G131,TRUE())</f>
        <v>#REF!</v>
      </c>
      <c r="G131" s="1" t="n">
        <v>74</v>
      </c>
    </row>
    <row r="132" customFormat="false" ht="15.75" hidden="false" customHeight="false" outlineLevel="0" collapsed="false">
      <c r="A132" s="0" t="e">
        <f aca="true">INDIRECT("'Ответы на форму (1)'!B"&amp;$G132,TRUE())</f>
        <v>#REF!</v>
      </c>
      <c r="B132" s="0" t="e">
        <f aca="true">INDIRECT("'Ответы на форму (1)'!C"&amp;$G132,TRUE())</f>
        <v>#REF!</v>
      </c>
      <c r="C132" s="0" t="e">
        <f aca="true">INDIRECT("'Ответы на форму (1)'!D"&amp;$G132,TRUE())</f>
        <v>#REF!</v>
      </c>
      <c r="D132" s="0" t="n">
        <f aca="false">IFERROR(__xludf.dummyfunction("iferror(VALUE(REGEXEXTRACT(TEXT(INDIRECT(""'Ответы на форму (1)'!E""&amp;$G132,TRUE),""####""),""[0-9]+"")),INDIRECT(""'Ответы на форму (1)'!E""&amp;$G132,TRUE))"),117)</f>
        <v>117</v>
      </c>
      <c r="E132" s="0" t="e">
        <f aca="true">INDIRECT("'Ответы на форму (1)'!I"&amp;$G132,TRUE())</f>
        <v>#REF!</v>
      </c>
      <c r="F132" s="0" t="e">
        <f aca="true">INDIRECT("'Ответы на форму (1)'!J"&amp;$G132,TRUE())</f>
        <v>#REF!</v>
      </c>
      <c r="G132" s="1" t="n">
        <v>175</v>
      </c>
    </row>
    <row r="133" customFormat="false" ht="15.75" hidden="false" customHeight="false" outlineLevel="0" collapsed="false">
      <c r="A133" s="0" t="e">
        <f aca="true">INDIRECT("'Ответы на форму (1)'!B"&amp;$G133,TRUE())</f>
        <v>#REF!</v>
      </c>
      <c r="B133" s="0" t="e">
        <f aca="true">INDIRECT("'Ответы на форму (1)'!C"&amp;$G133,TRUE())</f>
        <v>#REF!</v>
      </c>
      <c r="C133" s="0" t="e">
        <f aca="true">INDIRECT("'Ответы на форму (1)'!D"&amp;$G133,TRUE())</f>
        <v>#REF!</v>
      </c>
      <c r="D133" s="0" t="str">
        <f aca="false">IFERROR(__xludf.dummyfunction("iferror(VALUE(REGEXEXTRACT(TEXT(INDIRECT(""'Ответы на форму (1)'!E""&amp;$G133,TRUE),""####""),""[0-9]+"")),INDIRECT(""'Ответы на форму (1)'!E""&amp;$G133,TRUE))"),"БПОУ «Омавиат»")</f>
        <v>БПОУ «Омавиат»</v>
      </c>
      <c r="E133" s="0" t="e">
        <f aca="true">INDIRECT("'Ответы на форму (1)'!I"&amp;$G133,TRUE())</f>
        <v>#REF!</v>
      </c>
      <c r="F133" s="0" t="e">
        <f aca="true">INDIRECT("'Ответы на форму (1)'!J"&amp;$G133,TRUE())</f>
        <v>#REF!</v>
      </c>
      <c r="G133" s="1" t="n">
        <v>67</v>
      </c>
    </row>
    <row r="134" customFormat="false" ht="15.75" hidden="false" customHeight="false" outlineLevel="0" collapsed="false">
      <c r="A134" s="0" t="e">
        <f aca="true">INDIRECT("'Ответы на форму (1)'!B"&amp;$G134,TRUE())</f>
        <v>#REF!</v>
      </c>
      <c r="B134" s="0" t="e">
        <f aca="true">INDIRECT("'Ответы на форму (1)'!C"&amp;$G134,TRUE())</f>
        <v>#REF!</v>
      </c>
      <c r="C134" s="0" t="e">
        <f aca="true">INDIRECT("'Ответы на форму (1)'!D"&amp;$G134,TRUE())</f>
        <v>#REF!</v>
      </c>
      <c r="D134" s="0" t="n">
        <f aca="false">IFERROR(__xludf.dummyfunction("iferror(VALUE(REGEXEXTRACT(TEXT(INDIRECT(""'Ответы на форму (1)'!E""&amp;$G134,TRUE),""####""),""[0-9]+"")),INDIRECT(""'Ответы на форму (1)'!E""&amp;$G134,TRUE))"),117)</f>
        <v>117</v>
      </c>
      <c r="E134" s="0" t="e">
        <f aca="true">INDIRECT("'Ответы на форму (1)'!I"&amp;$G134,TRUE())</f>
        <v>#REF!</v>
      </c>
      <c r="F134" s="0" t="e">
        <f aca="true">INDIRECT("'Ответы на форму (1)'!J"&amp;$G134,TRUE())</f>
        <v>#REF!</v>
      </c>
      <c r="G134" s="1" t="n">
        <v>173</v>
      </c>
    </row>
    <row r="135" customFormat="false" ht="15.75" hidden="false" customHeight="false" outlineLevel="0" collapsed="false">
      <c r="A135" s="0" t="e">
        <f aca="true">INDIRECT("'Ответы на форму (1)'!B"&amp;$G135,TRUE())</f>
        <v>#REF!</v>
      </c>
      <c r="B135" s="0" t="e">
        <f aca="true">INDIRECT("'Ответы на форму (1)'!C"&amp;$G135,TRUE())</f>
        <v>#REF!</v>
      </c>
      <c r="C135" s="0" t="e">
        <f aca="true">INDIRECT("'Ответы на форму (1)'!D"&amp;$G135,TRUE())</f>
        <v>#REF!</v>
      </c>
      <c r="D135" s="0" t="n">
        <f aca="false">IFERROR(__xludf.dummyfunction("iferror(VALUE(REGEXEXTRACT(TEXT(INDIRECT(""'Ответы на форму (1)'!E""&amp;$G135,TRUE),""####""),""[0-9]+"")),INDIRECT(""'Ответы на форму (1)'!E""&amp;$G135,TRUE))"),117)</f>
        <v>117</v>
      </c>
      <c r="E135" s="0" t="e">
        <f aca="true">INDIRECT("'Ответы на форму (1)'!I"&amp;$G135,TRUE())</f>
        <v>#REF!</v>
      </c>
      <c r="F135" s="0" t="e">
        <f aca="true">INDIRECT("'Ответы на форму (1)'!J"&amp;$G135,TRUE())</f>
        <v>#REF!</v>
      </c>
      <c r="G135" s="1" t="n">
        <v>102</v>
      </c>
    </row>
    <row r="136" customFormat="false" ht="15.75" hidden="false" customHeight="false" outlineLevel="0" collapsed="false">
      <c r="A136" s="1" t="s">
        <v>426</v>
      </c>
      <c r="B136" s="20" t="s">
        <v>71</v>
      </c>
      <c r="C136" s="1" t="n">
        <v>7</v>
      </c>
      <c r="D136" s="1" t="n">
        <v>117</v>
      </c>
      <c r="E136" s="1" t="s">
        <v>40</v>
      </c>
      <c r="F136" s="1" t="s">
        <v>65</v>
      </c>
      <c r="G136" s="1" t="n">
        <v>182</v>
      </c>
    </row>
    <row r="137" customFormat="false" ht="15.75" hidden="false" customHeight="false" outlineLevel="0" collapsed="false">
      <c r="A137" s="0" t="e">
        <f aca="true">INDIRECT("'Ответы на форму (1)'!B"&amp;$G137,TRUE())</f>
        <v>#REF!</v>
      </c>
      <c r="B137" s="0" t="e">
        <f aca="true">INDIRECT("'Ответы на форму (1)'!C"&amp;$G137,TRUE())</f>
        <v>#REF!</v>
      </c>
      <c r="C137" s="0" t="e">
        <f aca="true">INDIRECT("'Ответы на форму (1)'!D"&amp;$G137,TRUE())</f>
        <v>#REF!</v>
      </c>
      <c r="D137" s="0" t="n">
        <f aca="false">IFERROR(__xludf.dummyfunction("iferror(VALUE(REGEXEXTRACT(TEXT(INDIRECT(""'Ответы на форму (1)'!E""&amp;$G137,TRUE),""####""),""[0-9]+"")),INDIRECT(""'Ответы на форму (1)'!E""&amp;$G137,TRUE))"),64)</f>
        <v>64</v>
      </c>
      <c r="E137" s="0" t="e">
        <f aca="true">INDIRECT("'Ответы на форму (1)'!I"&amp;$G137,TRUE())</f>
        <v>#REF!</v>
      </c>
      <c r="F137" s="0" t="e">
        <f aca="true">INDIRECT("'Ответы на форму (1)'!J"&amp;$G137,TRUE())</f>
        <v>#REF!</v>
      </c>
      <c r="G137" s="1" t="n">
        <v>32</v>
      </c>
    </row>
    <row r="138" customFormat="false" ht="15.75" hidden="false" customHeight="false" outlineLevel="0" collapsed="false">
      <c r="A138" s="0" t="e">
        <f aca="true">INDIRECT("'Ответы на форму (1)'!B"&amp;$G138,TRUE())</f>
        <v>#REF!</v>
      </c>
      <c r="B138" s="0" t="e">
        <f aca="true">INDIRECT("'Ответы на форму (1)'!C"&amp;$G138,TRUE())</f>
        <v>#REF!</v>
      </c>
      <c r="C138" s="0" t="e">
        <f aca="true">INDIRECT("'Ответы на форму (1)'!D"&amp;$G138,TRUE())</f>
        <v>#REF!</v>
      </c>
      <c r="D138" s="0" t="n">
        <f aca="false">IFERROR(__xludf.dummyfunction("iferror(VALUE(REGEXEXTRACT(TEXT(INDIRECT(""'Ответы на форму (1)'!E""&amp;$G138,TRUE),""####""),""[0-9]+"")),INDIRECT(""'Ответы на форму (1)'!E""&amp;$G138,TRUE))"),64)</f>
        <v>64</v>
      </c>
      <c r="E138" s="0" t="e">
        <f aca="true">INDIRECT("'Ответы на форму (1)'!I"&amp;$G138,TRUE())</f>
        <v>#REF!</v>
      </c>
      <c r="F138" s="0" t="e">
        <f aca="true">INDIRECT("'Ответы на форму (1)'!J"&amp;$G138,TRUE())</f>
        <v>#REF!</v>
      </c>
      <c r="G138" s="1" t="n">
        <v>161</v>
      </c>
    </row>
    <row r="139" customFormat="false" ht="15.75" hidden="false" customHeight="false" outlineLevel="0" collapsed="false">
      <c r="A139" s="0" t="e">
        <f aca="true">INDIRECT("'Ответы на форму (1)'!B"&amp;$G139,TRUE())</f>
        <v>#REF!</v>
      </c>
      <c r="B139" s="0" t="e">
        <f aca="true">INDIRECT("'Ответы на форму (1)'!C"&amp;$G139,TRUE())</f>
        <v>#REF!</v>
      </c>
      <c r="C139" s="0" t="e">
        <f aca="true">INDIRECT("'Ответы на форму (1)'!D"&amp;$G139,TRUE())</f>
        <v>#REF!</v>
      </c>
      <c r="D139" s="0" t="n">
        <f aca="false">IFERROR(__xludf.dummyfunction("iferror(VALUE(REGEXEXTRACT(TEXT(INDIRECT(""'Ответы на форму (1)'!E""&amp;$G139,TRUE),""####""),""[0-9]+"")),INDIRECT(""'Ответы на форму (1)'!E""&amp;$G139,TRUE))"),19)</f>
        <v>19</v>
      </c>
      <c r="E139" s="0" t="e">
        <f aca="true">INDIRECT("'Ответы на форму (1)'!I"&amp;$G139,TRUE())</f>
        <v>#REF!</v>
      </c>
      <c r="F139" s="0" t="e">
        <f aca="true">INDIRECT("'Ответы на форму (1)'!J"&amp;$G139,TRUE())</f>
        <v>#REF!</v>
      </c>
      <c r="G139" s="1" t="n">
        <v>157</v>
      </c>
    </row>
    <row r="140" customFormat="false" ht="15.75" hidden="false" customHeight="false" outlineLevel="0" collapsed="false">
      <c r="A140" s="1" t="s">
        <v>697</v>
      </c>
      <c r="B140" s="1" t="s">
        <v>698</v>
      </c>
      <c r="C140" s="1" t="n">
        <v>10</v>
      </c>
      <c r="D140" s="1" t="n">
        <v>117</v>
      </c>
      <c r="E140" s="1" t="s">
        <v>14</v>
      </c>
      <c r="F140" s="0" t="s">
        <v>15</v>
      </c>
      <c r="G140" s="1" t="n">
        <v>184</v>
      </c>
    </row>
    <row r="141" customFormat="false" ht="15.75" hidden="false" customHeight="false" outlineLevel="0" collapsed="false">
      <c r="A141" s="0" t="e">
        <f aca="true">INDIRECT("'Ответы на форму (1)'!B"&amp;$G141,TRUE())</f>
        <v>#REF!</v>
      </c>
      <c r="B141" s="0" t="e">
        <f aca="true">INDIRECT("'Ответы на форму (1)'!C"&amp;$G141,TRUE())</f>
        <v>#REF!</v>
      </c>
      <c r="C141" s="0" t="e">
        <f aca="true">INDIRECT("'Ответы на форму (1)'!D"&amp;$G141,TRUE())</f>
        <v>#REF!</v>
      </c>
      <c r="D141" s="0" t="n">
        <f aca="false">IFERROR(__xludf.dummyfunction("iferror(VALUE(REGEXEXTRACT(TEXT(INDIRECT(""'Ответы на форму (1)'!E""&amp;$G141,TRUE),""####""),""[0-9]+"")),INDIRECT(""'Ответы на форму (1)'!E""&amp;$G141,TRUE))"),117)</f>
        <v>117</v>
      </c>
      <c r="E141" s="0" t="e">
        <f aca="true">INDIRECT("'Ответы на форму (1)'!I"&amp;$G141,TRUE())</f>
        <v>#REF!</v>
      </c>
      <c r="F141" s="0" t="e">
        <f aca="true">INDIRECT("'Ответы на форму (1)'!J"&amp;$G141,TRUE())</f>
        <v>#REF!</v>
      </c>
      <c r="G141" s="1" t="n">
        <v>18</v>
      </c>
    </row>
    <row r="142" customFormat="false" ht="15.75" hidden="false" customHeight="false" outlineLevel="0" collapsed="false">
      <c r="A142" s="0" t="e">
        <f aca="true">INDIRECT("'Ответы на форму (1)'!B"&amp;$G142,TRUE())</f>
        <v>#REF!</v>
      </c>
      <c r="B142" s="0" t="e">
        <f aca="true">INDIRECT("'Ответы на форму (1)'!C"&amp;$G142,TRUE())</f>
        <v>#REF!</v>
      </c>
      <c r="C142" s="0" t="e">
        <f aca="true">INDIRECT("'Ответы на форму (1)'!D"&amp;$G142,TRUE())</f>
        <v>#REF!</v>
      </c>
      <c r="D142" s="0" t="n">
        <f aca="false">IFERROR(__xludf.dummyfunction("iferror(VALUE(REGEXEXTRACT(TEXT(INDIRECT(""'Ответы на форму (1)'!E""&amp;$G142,TRUE),""####""),""[0-9]+"")),INDIRECT(""'Ответы на форму (1)'!E""&amp;$G142,TRUE))"),139)</f>
        <v>139</v>
      </c>
      <c r="E142" s="0" t="e">
        <f aca="true">INDIRECT("'Ответы на форму (1)'!I"&amp;$G142,TRUE())</f>
        <v>#REF!</v>
      </c>
      <c r="F142" s="0" t="e">
        <f aca="true">INDIRECT("'Ответы на форму (1)'!J"&amp;$G142,TRUE())</f>
        <v>#REF!</v>
      </c>
      <c r="G142" s="1" t="n">
        <v>117</v>
      </c>
    </row>
    <row r="143" customFormat="false" ht="15.75" hidden="false" customHeight="false" outlineLevel="0" collapsed="false">
      <c r="A143" s="0" t="e">
        <f aca="true">INDIRECT("'Ответы на форму (1)'!B"&amp;$G143,TRUE())</f>
        <v>#REF!</v>
      </c>
      <c r="B143" s="0" t="e">
        <f aca="true">INDIRECT("'Ответы на форму (1)'!C"&amp;$G143,TRUE())</f>
        <v>#REF!</v>
      </c>
      <c r="C143" s="0" t="e">
        <f aca="true">INDIRECT("'Ответы на форму (1)'!D"&amp;$G143,TRUE())</f>
        <v>#REF!</v>
      </c>
      <c r="D143" s="0" t="n">
        <f aca="false">IFERROR(__xludf.dummyfunction("iferror(VALUE(REGEXEXTRACT(TEXT(INDIRECT(""'Ответы на форму (1)'!E""&amp;$G143,TRUE),""####""),""[0-9]+"")),INDIRECT(""'Ответы на форму (1)'!E""&amp;$G143,TRUE))"),117)</f>
        <v>117</v>
      </c>
      <c r="E143" s="0" t="e">
        <f aca="true">INDIRECT("'Ответы на форму (1)'!I"&amp;$G143,TRUE())</f>
        <v>#REF!</v>
      </c>
      <c r="F143" s="0" t="e">
        <f aca="true">INDIRECT("'Ответы на форму (1)'!J"&amp;$G143,TRUE())</f>
        <v>#REF!</v>
      </c>
      <c r="G143" s="1" t="n">
        <v>3</v>
      </c>
    </row>
    <row r="144" customFormat="false" ht="15.75" hidden="false" customHeight="false" outlineLevel="0" collapsed="false">
      <c r="A144" s="0" t="e">
        <f aca="true">INDIRECT("'Ответы на форму (1)'!B"&amp;$G144,TRUE())</f>
        <v>#REF!</v>
      </c>
      <c r="B144" s="0" t="e">
        <f aca="true">INDIRECT("'Ответы на форму (1)'!C"&amp;$G144,TRUE())</f>
        <v>#REF!</v>
      </c>
      <c r="C144" s="0" t="e">
        <f aca="true">INDIRECT("'Ответы на форму (1)'!D"&amp;$G144,TRUE())</f>
        <v>#REF!</v>
      </c>
      <c r="D144" s="0" t="n">
        <f aca="false">IFERROR(__xludf.dummyfunction("iferror(VALUE(REGEXEXTRACT(TEXT(INDIRECT(""'Ответы на форму (1)'!E""&amp;$G144,TRUE),""####""),""[0-9]+"")),INDIRECT(""'Ответы на форму (1)'!E""&amp;$G144,TRUE))"),117)</f>
        <v>117</v>
      </c>
      <c r="E144" s="0" t="e">
        <f aca="true">INDIRECT("'Ответы на форму (1)'!I"&amp;$G144,TRUE())</f>
        <v>#REF!</v>
      </c>
      <c r="F144" s="0" t="e">
        <f aca="true">INDIRECT("'Ответы на форму (1)'!J"&amp;$G144,TRUE())</f>
        <v>#REF!</v>
      </c>
      <c r="G144" s="1" t="n">
        <v>138</v>
      </c>
    </row>
    <row r="145" customFormat="false" ht="15.75" hidden="false" customHeight="false" outlineLevel="0" collapsed="false">
      <c r="A145" s="0" t="e">
        <f aca="true">INDIRECT("'Ответы на форму (1)'!B"&amp;$G145,TRUE())</f>
        <v>#REF!</v>
      </c>
      <c r="B145" s="0" t="e">
        <f aca="true">INDIRECT("'Ответы на форму (1)'!C"&amp;$G145,TRUE())</f>
        <v>#REF!</v>
      </c>
      <c r="C145" s="0" t="e">
        <f aca="true">INDIRECT("'Ответы на форму (1)'!D"&amp;$G145,TRUE())</f>
        <v>#REF!</v>
      </c>
      <c r="D145" s="0" t="n">
        <f aca="false">IFERROR(__xludf.dummyfunction("iferror(VALUE(REGEXEXTRACT(TEXT(INDIRECT(""'Ответы на форму (1)'!E""&amp;$G145,TRUE),""####""),""[0-9]+"")),INDIRECT(""'Ответы на форму (1)'!E""&amp;$G145,TRUE))"),117)</f>
        <v>117</v>
      </c>
      <c r="E145" s="0" t="e">
        <f aca="true">INDIRECT("'Ответы на форму (1)'!I"&amp;$G145,TRUE())</f>
        <v>#REF!</v>
      </c>
      <c r="F145" s="0" t="e">
        <f aca="true">INDIRECT("'Ответы на форму (1)'!J"&amp;$G145,TRUE())</f>
        <v>#REF!</v>
      </c>
      <c r="G145" s="1" t="n">
        <v>45</v>
      </c>
    </row>
    <row r="146" customFormat="false" ht="15.75" hidden="false" customHeight="false" outlineLevel="0" collapsed="false">
      <c r="A146" s="0" t="e">
        <f aca="true">INDIRECT("'Ответы на форму (1)'!B"&amp;$G146,TRUE())</f>
        <v>#REF!</v>
      </c>
      <c r="B146" s="0" t="e">
        <f aca="true">INDIRECT("'Ответы на форму (1)'!C"&amp;$G146,TRUE())</f>
        <v>#REF!</v>
      </c>
      <c r="C146" s="0" t="e">
        <f aca="true">INDIRECT("'Ответы на форму (1)'!D"&amp;$G146,TRUE())</f>
        <v>#REF!</v>
      </c>
      <c r="D146" s="0" t="n">
        <f aca="false">IFERROR(__xludf.dummyfunction("iferror(VALUE(REGEXEXTRACT(TEXT(INDIRECT(""'Ответы на форму (1)'!E""&amp;$G146,TRUE),""####""),""[0-9]+"")),INDIRECT(""'Ответы на форму (1)'!E""&amp;$G146,TRUE))"),117)</f>
        <v>117</v>
      </c>
      <c r="E146" s="0" t="e">
        <f aca="true">INDIRECT("'Ответы на форму (1)'!I"&amp;$G146,TRUE())</f>
        <v>#REF!</v>
      </c>
      <c r="F146" s="0" t="e">
        <f aca="true">INDIRECT("'Ответы на форму (1)'!J"&amp;$G146,TRUE())</f>
        <v>#REF!</v>
      </c>
      <c r="G146" s="1" t="n">
        <v>125</v>
      </c>
    </row>
    <row r="147" customFormat="false" ht="15.75" hidden="false" customHeight="false" outlineLevel="0" collapsed="false">
      <c r="A147" s="0" t="e">
        <f aca="true">INDIRECT("'Ответы на форму (1)'!B"&amp;$G147,TRUE())</f>
        <v>#REF!</v>
      </c>
      <c r="B147" s="0" t="e">
        <f aca="true">INDIRECT("'Ответы на форму (1)'!C"&amp;$G147,TRUE())</f>
        <v>#REF!</v>
      </c>
      <c r="C147" s="0" t="e">
        <f aca="true">INDIRECT("'Ответы на форму (1)'!D"&amp;$G147,TRUE())</f>
        <v>#REF!</v>
      </c>
      <c r="D147" s="0" t="n">
        <f aca="false">IFERROR(__xludf.dummyfunction("iferror(VALUE(REGEXEXTRACT(TEXT(INDIRECT(""'Ответы на форму (1)'!E""&amp;$G147,TRUE),""####""),""[0-9]+"")),INDIRECT(""'Ответы на форму (1)'!E""&amp;$G147,TRUE))"),43)</f>
        <v>43</v>
      </c>
      <c r="E147" s="0" t="e">
        <f aca="true">INDIRECT("'Ответы на форму (1)'!I"&amp;$G147,TRUE())</f>
        <v>#REF!</v>
      </c>
      <c r="F147" s="0" t="e">
        <f aca="true">INDIRECT("'Ответы на форму (1)'!J"&amp;$G147,TRUE())</f>
        <v>#REF!</v>
      </c>
      <c r="G147" s="1" t="n">
        <v>99</v>
      </c>
    </row>
    <row r="148" customFormat="false" ht="15.75" hidden="false" customHeight="false" outlineLevel="0" collapsed="false">
      <c r="A148" s="0" t="e">
        <f aca="true">INDIRECT("'Ответы на форму (1)'!B"&amp;$G148,TRUE())</f>
        <v>#REF!</v>
      </c>
      <c r="B148" s="0" t="e">
        <f aca="true">INDIRECT("'Ответы на форму (1)'!C"&amp;$G148,TRUE())</f>
        <v>#REF!</v>
      </c>
      <c r="C148" s="0" t="e">
        <f aca="true">INDIRECT("'Ответы на форму (1)'!D"&amp;$G148,TRUE())</f>
        <v>#REF!</v>
      </c>
      <c r="D148" s="0" t="n">
        <f aca="false">IFERROR(__xludf.dummyfunction("iferror(VALUE(REGEXEXTRACT(TEXT(INDIRECT(""'Ответы на форму (1)'!E""&amp;$G148,TRUE),""####""),""[0-9]+"")),INDIRECT(""'Ответы на форму (1)'!E""&amp;$G148,TRUE))"),117)</f>
        <v>117</v>
      </c>
      <c r="E148" s="0" t="e">
        <f aca="true">INDIRECT("'Ответы на форму (1)'!I"&amp;$G148,TRUE())</f>
        <v>#REF!</v>
      </c>
      <c r="F148" s="0" t="e">
        <f aca="true">INDIRECT("'Ответы на форму (1)'!J"&amp;$G148,TRUE())</f>
        <v>#REF!</v>
      </c>
      <c r="G148" s="1" t="n">
        <v>126</v>
      </c>
    </row>
    <row r="149" customFormat="false" ht="15.75" hidden="false" customHeight="false" outlineLevel="0" collapsed="false">
      <c r="A149" s="0" t="e">
        <f aca="true">INDIRECT("'Ответы на форму (1)'!B"&amp;$G149,TRUE())</f>
        <v>#REF!</v>
      </c>
      <c r="B149" s="0" t="e">
        <f aca="true">INDIRECT("'Ответы на форму (1)'!C"&amp;$G149,TRUE())</f>
        <v>#REF!</v>
      </c>
      <c r="C149" s="0" t="e">
        <f aca="true">INDIRECT("'Ответы на форму (1)'!D"&amp;$G149,TRUE())</f>
        <v>#REF!</v>
      </c>
      <c r="D149" s="0" t="n">
        <f aca="false">IFERROR(__xludf.dummyfunction("iferror(VALUE(REGEXEXTRACT(TEXT(INDIRECT(""'Ответы на форму (1)'!E""&amp;$G149,TRUE),""####""),""[0-9]+"")),INDIRECT(""'Ответы на форму (1)'!E""&amp;$G149,TRUE))"),149)</f>
        <v>149</v>
      </c>
      <c r="E149" s="0" t="e">
        <f aca="true">INDIRECT("'Ответы на форму (1)'!I"&amp;$G149,TRUE())</f>
        <v>#REF!</v>
      </c>
      <c r="F149" s="0" t="e">
        <f aca="true">INDIRECT("'Ответы на форму (1)'!J"&amp;$G149,TRUE())</f>
        <v>#REF!</v>
      </c>
      <c r="G149" s="1" t="n">
        <v>122</v>
      </c>
    </row>
    <row r="150" customFormat="false" ht="15.75" hidden="false" customHeight="false" outlineLevel="0" collapsed="false">
      <c r="A150" s="0" t="e">
        <f aca="true">INDIRECT("'Ответы на форму (1)'!B"&amp;$G150,TRUE())</f>
        <v>#REF!</v>
      </c>
      <c r="B150" s="0" t="e">
        <f aca="true">INDIRECT("'Ответы на форму (1)'!C"&amp;$G150,TRUE())</f>
        <v>#REF!</v>
      </c>
      <c r="C150" s="0" t="e">
        <f aca="true">INDIRECT("'Ответы на форму (1)'!D"&amp;$G150,TRUE())</f>
        <v>#REF!</v>
      </c>
      <c r="D150" s="0" t="n">
        <f aca="false">IFERROR(__xludf.dummyfunction("iferror(VALUE(REGEXEXTRACT(TEXT(INDIRECT(""'Ответы на форму (1)'!E""&amp;$G150,TRUE),""####""),""[0-9]+"")),INDIRECT(""'Ответы на форму (1)'!E""&amp;$G150,TRUE))"),54)</f>
        <v>54</v>
      </c>
      <c r="E150" s="0" t="e">
        <f aca="true">INDIRECT("'Ответы на форму (1)'!I"&amp;$G150,TRUE())</f>
        <v>#REF!</v>
      </c>
      <c r="F150" s="0" t="e">
        <f aca="true">INDIRECT("'Ответы на форму (1)'!J"&amp;$G150,TRUE())</f>
        <v>#REF!</v>
      </c>
      <c r="G150" s="1" t="n">
        <v>34</v>
      </c>
    </row>
    <row r="151" customFormat="false" ht="15.75" hidden="false" customHeight="false" outlineLevel="0" collapsed="false">
      <c r="A151" s="0" t="e">
        <f aca="true">INDIRECT("'Ответы на форму (1)'!B"&amp;$G151,TRUE())</f>
        <v>#REF!</v>
      </c>
      <c r="B151" s="0" t="e">
        <f aca="true">INDIRECT("'Ответы на форму (1)'!C"&amp;$G151,TRUE())</f>
        <v>#REF!</v>
      </c>
      <c r="C151" s="0" t="e">
        <f aca="true">INDIRECT("'Ответы на форму (1)'!D"&amp;$G151,TRUE())</f>
        <v>#REF!</v>
      </c>
      <c r="D151" s="0" t="n">
        <f aca="false">IFERROR(__xludf.dummyfunction("iferror(VALUE(REGEXEXTRACT(TEXT(INDIRECT(""'Ответы на форму (1)'!E""&amp;$G151,TRUE),""####""),""[0-9]+"")),INDIRECT(""'Ответы на форму (1)'!E""&amp;$G151,TRUE))"),64)</f>
        <v>64</v>
      </c>
      <c r="E151" s="0" t="e">
        <f aca="true">INDIRECT("'Ответы на форму (1)'!I"&amp;$G151,TRUE())</f>
        <v>#REF!</v>
      </c>
      <c r="F151" s="0" t="e">
        <f aca="true">INDIRECT("'Ответы на форму (1)'!J"&amp;$G151,TRUE())</f>
        <v>#REF!</v>
      </c>
      <c r="G151" s="1" t="n">
        <v>22</v>
      </c>
    </row>
    <row r="152" customFormat="false" ht="15.75" hidden="false" customHeight="false" outlineLevel="0" collapsed="false">
      <c r="A152" s="0" t="e">
        <f aca="true">INDIRECT("'Ответы на форму (1)'!B"&amp;$G152,TRUE())</f>
        <v>#REF!</v>
      </c>
      <c r="B152" s="0" t="e">
        <f aca="true">INDIRECT("'Ответы на форму (1)'!C"&amp;$G152,TRUE())</f>
        <v>#REF!</v>
      </c>
      <c r="C152" s="0" t="e">
        <f aca="true">INDIRECT("'Ответы на форму (1)'!D"&amp;$G152,TRUE())</f>
        <v>#REF!</v>
      </c>
      <c r="D152" s="0" t="n">
        <f aca="false">IFERROR(__xludf.dummyfunction("iferror(VALUE(REGEXEXTRACT(TEXT(INDIRECT(""'Ответы на форму (1)'!E""&amp;$G152,TRUE),""####""),""[0-9]+"")),INDIRECT(""'Ответы на форму (1)'!E""&amp;$G152,TRUE))"),117)</f>
        <v>117</v>
      </c>
      <c r="E152" s="0" t="e">
        <f aca="true">INDIRECT("'Ответы на форму (1)'!I"&amp;$G152,TRUE())</f>
        <v>#REF!</v>
      </c>
      <c r="F152" s="0" t="e">
        <f aca="true">INDIRECT("'Ответы на форму (1)'!J"&amp;$G152,TRUE())</f>
        <v>#REF!</v>
      </c>
      <c r="G152" s="1" t="n">
        <v>144</v>
      </c>
    </row>
    <row r="153" customFormat="false" ht="15.75" hidden="false" customHeight="false" outlineLevel="0" collapsed="false">
      <c r="A153" s="0" t="e">
        <f aca="true">INDIRECT("'Ответы на форму (1)'!B"&amp;$G153,TRUE())</f>
        <v>#REF!</v>
      </c>
      <c r="B153" s="0" t="e">
        <f aca="true">INDIRECT("'Ответы на форму (1)'!C"&amp;$G153,TRUE())</f>
        <v>#REF!</v>
      </c>
      <c r="C153" s="0" t="e">
        <f aca="true">INDIRECT("'Ответы на форму (1)'!D"&amp;$G153,TRUE())</f>
        <v>#REF!</v>
      </c>
      <c r="D153" s="0" t="n">
        <f aca="false">IFERROR(__xludf.dummyfunction("iferror(VALUE(REGEXEXTRACT(TEXT(INDIRECT(""'Ответы на форму (1)'!E""&amp;$G153,TRUE),""####""),""[0-9]+"")),INDIRECT(""'Ответы на форму (1)'!E""&amp;$G153,TRUE))"),117)</f>
        <v>117</v>
      </c>
      <c r="E153" s="0" t="e">
        <f aca="true">INDIRECT("'Ответы на форму (1)'!I"&amp;$G153,TRUE())</f>
        <v>#REF!</v>
      </c>
      <c r="F153" s="0" t="e">
        <f aca="true">INDIRECT("'Ответы на форму (1)'!J"&amp;$G153,TRUE())</f>
        <v>#REF!</v>
      </c>
      <c r="G153" s="1" t="n">
        <v>103</v>
      </c>
    </row>
    <row r="154" customFormat="false" ht="15.75" hidden="false" customHeight="false" outlineLevel="0" collapsed="false">
      <c r="A154" s="0" t="e">
        <f aca="true">INDIRECT("'Ответы на форму (1)'!B"&amp;$G154,TRUE())</f>
        <v>#REF!</v>
      </c>
      <c r="B154" s="0" t="e">
        <f aca="true">INDIRECT("'Ответы на форму (1)'!C"&amp;$G154,TRUE())</f>
        <v>#REF!</v>
      </c>
      <c r="C154" s="0" t="e">
        <f aca="true">INDIRECT("'Ответы на форму (1)'!D"&amp;$G154,TRUE())</f>
        <v>#REF!</v>
      </c>
      <c r="D154" s="0" t="n">
        <f aca="false">IFERROR(__xludf.dummyfunction("iferror(VALUE(REGEXEXTRACT(TEXT(INDIRECT(""'Ответы на форму (1)'!E""&amp;$G154,TRUE),""####""),""[0-9]+"")),INDIRECT(""'Ответы на форму (1)'!E""&amp;$G154,TRUE))"),64)</f>
        <v>64</v>
      </c>
      <c r="E154" s="0" t="e">
        <f aca="true">INDIRECT("'Ответы на форму (1)'!I"&amp;$G154,TRUE())</f>
        <v>#REF!</v>
      </c>
      <c r="F154" s="0" t="e">
        <f aca="true">INDIRECT("'Ответы на форму (1)'!J"&amp;$G154,TRUE())</f>
        <v>#REF!</v>
      </c>
      <c r="G154" s="1" t="n">
        <v>174</v>
      </c>
    </row>
    <row r="155" customFormat="false" ht="15.75" hidden="false" customHeight="false" outlineLevel="0" collapsed="false">
      <c r="A155" s="0" t="e">
        <f aca="true">INDIRECT("'Ответы на форму (1)'!B"&amp;$G155,TRUE())</f>
        <v>#REF!</v>
      </c>
      <c r="B155" s="0" t="e">
        <f aca="true">INDIRECT("'Ответы на форму (1)'!C"&amp;$G155,TRUE())</f>
        <v>#REF!</v>
      </c>
      <c r="C155" s="0" t="e">
        <f aca="true">INDIRECT("'Ответы на форму (1)'!D"&amp;$G155,TRUE())</f>
        <v>#REF!</v>
      </c>
      <c r="D155" s="0" t="n">
        <f aca="false">IFERROR(__xludf.dummyfunction("iferror(VALUE(REGEXEXTRACT(TEXT(INDIRECT(""'Ответы на форму (1)'!E""&amp;$G155,TRUE),""####""),""[0-9]+"")),INDIRECT(""'Ответы на форму (1)'!E""&amp;$G155,TRUE))"),117)</f>
        <v>117</v>
      </c>
      <c r="E155" s="0" t="e">
        <f aca="true">INDIRECT("'Ответы на форму (1)'!I"&amp;$G155,TRUE())</f>
        <v>#REF!</v>
      </c>
      <c r="F155" s="0" t="e">
        <f aca="true">INDIRECT("'Ответы на форму (1)'!J"&amp;$G155,TRUE())</f>
        <v>#REF!</v>
      </c>
      <c r="G155" s="1" t="n">
        <v>46</v>
      </c>
    </row>
    <row r="156" customFormat="false" ht="15.75" hidden="false" customHeight="false" outlineLevel="0" collapsed="false">
      <c r="A156" s="0" t="e">
        <f aca="true">INDIRECT("'Ответы на форму (1)'!B"&amp;$G156,TRUE())</f>
        <v>#REF!</v>
      </c>
      <c r="B156" s="0" t="e">
        <f aca="true">INDIRECT("'Ответы на форму (1)'!C"&amp;$G156,TRUE())</f>
        <v>#REF!</v>
      </c>
      <c r="C156" s="0" t="e">
        <f aca="true">INDIRECT("'Ответы на форму (1)'!D"&amp;$G156,TRUE())</f>
        <v>#REF!</v>
      </c>
      <c r="D156" s="0" t="n">
        <f aca="false">IFERROR(__xludf.dummyfunction("iferror(VALUE(REGEXEXTRACT(TEXT(INDIRECT(""'Ответы на форму (1)'!E""&amp;$G156,TRUE),""####""),""[0-9]+"")),INDIRECT(""'Ответы на форму (1)'!E""&amp;$G156,TRUE))"),117)</f>
        <v>117</v>
      </c>
      <c r="E156" s="0" t="e">
        <f aca="true">INDIRECT("'Ответы на форму (1)'!I"&amp;$G156,TRUE())</f>
        <v>#REF!</v>
      </c>
      <c r="F156" s="0" t="e">
        <f aca="true">INDIRECT("'Ответы на форму (1)'!J"&amp;$G156,TRUE())</f>
        <v>#REF!</v>
      </c>
      <c r="G156" s="1" t="n">
        <v>73</v>
      </c>
    </row>
    <row r="157" customFormat="false" ht="15.75" hidden="false" customHeight="false" outlineLevel="0" collapsed="false">
      <c r="A157" s="0" t="e">
        <f aca="true">INDIRECT("'Ответы на форму (1)'!B"&amp;$G157,TRUE())</f>
        <v>#REF!</v>
      </c>
      <c r="B157" s="0" t="e">
        <f aca="true">INDIRECT("'Ответы на форму (1)'!C"&amp;$G157,TRUE())</f>
        <v>#REF!</v>
      </c>
      <c r="C157" s="0" t="e">
        <f aca="true">INDIRECT("'Ответы на форму (1)'!D"&amp;$G157,TRUE())</f>
        <v>#REF!</v>
      </c>
      <c r="D157" s="0" t="n">
        <f aca="false">IFERROR(__xludf.dummyfunction("iferror(VALUE(REGEXEXTRACT(TEXT(INDIRECT(""'Ответы на форму (1)'!E""&amp;$G157,TRUE),""####""),""[0-9]+"")),INDIRECT(""'Ответы на форму (1)'!E""&amp;$G157,TRUE))"),149)</f>
        <v>149</v>
      </c>
      <c r="E157" s="0" t="e">
        <f aca="true">INDIRECT("'Ответы на форму (1)'!I"&amp;$G157,TRUE())</f>
        <v>#REF!</v>
      </c>
      <c r="F157" s="0" t="e">
        <f aca="true">INDIRECT("'Ответы на форму (1)'!J"&amp;$G157,TRUE())</f>
        <v>#REF!</v>
      </c>
      <c r="G157" s="1" t="n">
        <v>28</v>
      </c>
    </row>
    <row r="158" customFormat="false" ht="15.75" hidden="false" customHeight="false" outlineLevel="0" collapsed="false">
      <c r="A158" s="0" t="e">
        <f aca="true">INDIRECT("'Ответы на форму (1)'!B"&amp;$G158,TRUE())</f>
        <v>#REF!</v>
      </c>
      <c r="B158" s="0" t="e">
        <f aca="true">INDIRECT("'Ответы на форму (1)'!C"&amp;$G158,TRUE())</f>
        <v>#REF!</v>
      </c>
      <c r="C158" s="0" t="e">
        <f aca="true">INDIRECT("'Ответы на форму (1)'!D"&amp;$G158,TRUE())</f>
        <v>#REF!</v>
      </c>
      <c r="D158" s="0" t="n">
        <f aca="false">IFERROR(__xludf.dummyfunction("iferror(VALUE(REGEXEXTRACT(TEXT(INDIRECT(""'Ответы на форму (1)'!E""&amp;$G158,TRUE),""####""),""[0-9]+"")),INDIRECT(""'Ответы на форму (1)'!E""&amp;$G158,TRUE))"),146)</f>
        <v>146</v>
      </c>
      <c r="E158" s="0" t="e">
        <f aca="true">INDIRECT("'Ответы на форму (1)'!I"&amp;$G158,TRUE())</f>
        <v>#REF!</v>
      </c>
      <c r="F158" s="0" t="e">
        <f aca="true">INDIRECT("'Ответы на форму (1)'!J"&amp;$G158,TRUE())</f>
        <v>#REF!</v>
      </c>
      <c r="G158" s="1" t="n">
        <v>66</v>
      </c>
    </row>
    <row r="159" customFormat="false" ht="15.75" hidden="false" customHeight="false" outlineLevel="0" collapsed="false">
      <c r="A159" s="0" t="e">
        <f aca="true">INDIRECT("'Ответы на форму (1)'!B"&amp;$G159,TRUE())</f>
        <v>#REF!</v>
      </c>
      <c r="B159" s="0" t="e">
        <f aca="true">INDIRECT("'Ответы на форму (1)'!C"&amp;$G159,TRUE())</f>
        <v>#REF!</v>
      </c>
      <c r="C159" s="0" t="e">
        <f aca="true">INDIRECT("'Ответы на форму (1)'!D"&amp;$G159,TRUE())</f>
        <v>#REF!</v>
      </c>
      <c r="D159" s="0" t="n">
        <f aca="false">IFERROR(__xludf.dummyfunction("iferror(VALUE(REGEXEXTRACT(TEXT(INDIRECT(""'Ответы на форму (1)'!E""&amp;$G159,TRUE),""####""),""[0-9]+"")),INDIRECT(""'Ответы на форму (1)'!E""&amp;$G159,TRUE))"),117)</f>
        <v>117</v>
      </c>
      <c r="E159" s="0" t="e">
        <f aca="true">INDIRECT("'Ответы на форму (1)'!I"&amp;$G159,TRUE())</f>
        <v>#REF!</v>
      </c>
      <c r="F159" s="0" t="e">
        <f aca="true">INDIRECT("'Ответы на форму (1)'!J"&amp;$G159,TRUE())</f>
        <v>#REF!</v>
      </c>
      <c r="G159" s="1" t="n">
        <v>14</v>
      </c>
    </row>
    <row r="160" customFormat="false" ht="15.75" hidden="false" customHeight="false" outlineLevel="0" collapsed="false">
      <c r="A160" s="0" t="e">
        <f aca="true">INDIRECT("'Ответы на форму (1)'!B"&amp;$G160,TRUE())</f>
        <v>#REF!</v>
      </c>
      <c r="B160" s="0" t="e">
        <f aca="true">INDIRECT("'Ответы на форму (1)'!C"&amp;$G160,TRUE())</f>
        <v>#REF!</v>
      </c>
      <c r="C160" s="0" t="e">
        <f aca="true">INDIRECT("'Ответы на форму (1)'!D"&amp;$G160,TRUE())</f>
        <v>#REF!</v>
      </c>
      <c r="D160" s="0" t="n">
        <f aca="false">IFERROR(__xludf.dummyfunction("iferror(VALUE(REGEXEXTRACT(TEXT(INDIRECT(""'Ответы на форму (1)'!E""&amp;$G160,TRUE),""####""),""[0-9]+"")),INDIRECT(""'Ответы на форму (1)'!E""&amp;$G160,TRUE))"),63)</f>
        <v>63</v>
      </c>
      <c r="E160" s="0" t="e">
        <f aca="true">INDIRECT("'Ответы на форму (1)'!I"&amp;$G160,TRUE())</f>
        <v>#REF!</v>
      </c>
      <c r="F160" s="0" t="e">
        <f aca="true">INDIRECT("'Ответы на форму (1)'!J"&amp;$G160,TRUE())</f>
        <v>#REF!</v>
      </c>
      <c r="G160" s="1" t="n">
        <v>59</v>
      </c>
    </row>
    <row r="161" customFormat="false" ht="15.75" hidden="false" customHeight="false" outlineLevel="0" collapsed="false">
      <c r="A161" s="0" t="e">
        <f aca="true">INDIRECT("'Ответы на форму (1)'!B"&amp;$G161,TRUE())</f>
        <v>#REF!</v>
      </c>
      <c r="B161" s="0" t="e">
        <f aca="true">INDIRECT("'Ответы на форму (1)'!C"&amp;$G161,TRUE())</f>
        <v>#REF!</v>
      </c>
      <c r="C161" s="0" t="e">
        <f aca="true">INDIRECT("'Ответы на форму (1)'!D"&amp;$G161,TRUE())</f>
        <v>#REF!</v>
      </c>
      <c r="D161" s="0" t="n">
        <f aca="false">IFERROR(__xludf.dummyfunction("iferror(VALUE(REGEXEXTRACT(TEXT(INDIRECT(""'Ответы на форму (1)'!E""&amp;$G161,TRUE),""####""),""[0-9]+"")),INDIRECT(""'Ответы на форму (1)'!E""&amp;$G161,TRUE))"),166)</f>
        <v>166</v>
      </c>
      <c r="E161" s="0" t="e">
        <f aca="true">INDIRECT("'Ответы на форму (1)'!I"&amp;$G161,TRUE())</f>
        <v>#REF!</v>
      </c>
      <c r="F161" s="0" t="e">
        <f aca="true">INDIRECT("'Ответы на форму (1)'!J"&amp;$G161,TRUE())</f>
        <v>#REF!</v>
      </c>
      <c r="G161" s="1" t="n">
        <v>162</v>
      </c>
    </row>
    <row r="162" customFormat="false" ht="15.75" hidden="false" customHeight="false" outlineLevel="0" collapsed="false">
      <c r="A162" s="1" t="s">
        <v>705</v>
      </c>
      <c r="B162" s="1" t="s">
        <v>173</v>
      </c>
      <c r="C162" s="1" t="n">
        <v>9</v>
      </c>
      <c r="D162" s="1" t="n">
        <v>149</v>
      </c>
      <c r="E162" s="1" t="s">
        <v>51</v>
      </c>
      <c r="F162" s="1" t="s">
        <v>65</v>
      </c>
      <c r="G162" s="1" t="n">
        <v>193</v>
      </c>
    </row>
    <row r="163" customFormat="false" ht="15.75" hidden="false" customHeight="false" outlineLevel="0" collapsed="false">
      <c r="A163" s="0" t="e">
        <f aca="true">INDIRECT("'Ответы на форму (1)'!B"&amp;$G163,TRUE())</f>
        <v>#REF!</v>
      </c>
      <c r="B163" s="0" t="e">
        <f aca="true">INDIRECT("'Ответы на форму (1)'!C"&amp;$G163,TRUE())</f>
        <v>#REF!</v>
      </c>
      <c r="C163" s="0" t="e">
        <f aca="true">INDIRECT("'Ответы на форму (1)'!D"&amp;$G163,TRUE())</f>
        <v>#REF!</v>
      </c>
      <c r="D163" s="0" t="n">
        <f aca="false">IFERROR(__xludf.dummyfunction("iferror(VALUE(REGEXEXTRACT(TEXT(INDIRECT(""'Ответы на форму (1)'!E""&amp;$G163,TRUE),""####""),""[0-9]+"")),INDIRECT(""'Ответы на форму (1)'!E""&amp;$G163,TRUE))"),64)</f>
        <v>64</v>
      </c>
      <c r="E163" s="0" t="e">
        <f aca="true">INDIRECT("'Ответы на форму (1)'!I"&amp;$G163,TRUE())</f>
        <v>#REF!</v>
      </c>
      <c r="F163" s="0" t="e">
        <f aca="true">INDIRECT("'Ответы на форму (1)'!J"&amp;$G163,TRUE())</f>
        <v>#REF!</v>
      </c>
      <c r="G163" s="1" t="n">
        <v>84</v>
      </c>
    </row>
    <row r="164" customFormat="false" ht="15.75" hidden="false" customHeight="false" outlineLevel="0" collapsed="false">
      <c r="A164" s="0" t="e">
        <f aca="true">INDIRECT("'Ответы на форму (1)'!B"&amp;$G164,TRUE())</f>
        <v>#REF!</v>
      </c>
      <c r="B164" s="0" t="e">
        <f aca="true">INDIRECT("'Ответы на форму (1)'!C"&amp;$G164,TRUE())</f>
        <v>#REF!</v>
      </c>
      <c r="C164" s="0" t="e">
        <f aca="true">INDIRECT("'Ответы на форму (1)'!D"&amp;$G164,TRUE())</f>
        <v>#REF!</v>
      </c>
      <c r="D164" s="0" t="n">
        <f aca="false">IFERROR(__xludf.dummyfunction("iferror(VALUE(REGEXEXTRACT(TEXT(INDIRECT(""'Ответы на форму (1)'!E""&amp;$G164,TRUE),""####""),""[0-9]+"")),INDIRECT(""'Ответы на форму (1)'!E""&amp;$G164,TRUE))"),117)</f>
        <v>117</v>
      </c>
      <c r="E164" s="0" t="e">
        <f aca="true">INDIRECT("'Ответы на форму (1)'!I"&amp;$G164,TRUE())</f>
        <v>#REF!</v>
      </c>
      <c r="F164" s="0" t="e">
        <f aca="true">INDIRECT("'Ответы на форму (1)'!J"&amp;$G164,TRUE())</f>
        <v>#REF!</v>
      </c>
      <c r="G164" s="1" t="n">
        <v>95</v>
      </c>
    </row>
    <row r="165" customFormat="false" ht="15.75" hidden="false" customHeight="false" outlineLevel="0" collapsed="false">
      <c r="A165" s="0" t="e">
        <f aca="true">INDIRECT("'Ответы на форму (1)'!B"&amp;$G165,TRUE())</f>
        <v>#REF!</v>
      </c>
      <c r="B165" s="0" t="e">
        <f aca="true">INDIRECT("'Ответы на форму (1)'!C"&amp;$G165,TRUE())</f>
        <v>#REF!</v>
      </c>
      <c r="C165" s="0" t="e">
        <f aca="true">INDIRECT("'Ответы на форму (1)'!D"&amp;$G165,TRUE())</f>
        <v>#REF!</v>
      </c>
      <c r="D165" s="0" t="n">
        <f aca="false">IFERROR(__xludf.dummyfunction("iferror(VALUE(REGEXEXTRACT(TEXT(INDIRECT(""'Ответы на форму (1)'!E""&amp;$G165,TRUE),""####""),""[0-9]+"")),INDIRECT(""'Ответы на форму (1)'!E""&amp;$G165,TRUE))"),140)</f>
        <v>140</v>
      </c>
      <c r="E165" s="0" t="e">
        <f aca="true">INDIRECT("'Ответы на форму (1)'!I"&amp;$G165,TRUE())</f>
        <v>#REF!</v>
      </c>
      <c r="F165" s="0" t="e">
        <f aca="true">INDIRECT("'Ответы на форму (1)'!J"&amp;$G165,TRUE())</f>
        <v>#REF!</v>
      </c>
      <c r="G165" s="1" t="n">
        <v>83</v>
      </c>
    </row>
    <row r="166" customFormat="false" ht="15.75" hidden="false" customHeight="false" outlineLevel="0" collapsed="false">
      <c r="A166" s="0" t="e">
        <f aca="true">INDIRECT("'Ответы на форму (1)'!B"&amp;$G166,TRUE())</f>
        <v>#REF!</v>
      </c>
      <c r="B166" s="0" t="e">
        <f aca="true">INDIRECT("'Ответы на форму (1)'!C"&amp;$G166,TRUE())</f>
        <v>#REF!</v>
      </c>
      <c r="C166" s="0" t="e">
        <f aca="true">INDIRECT("'Ответы на форму (1)'!D"&amp;$G166,TRUE())</f>
        <v>#REF!</v>
      </c>
      <c r="D166" s="0" t="str">
        <f aca="false">IFERROR(__xludf.dummyfunction("iferror(VALUE(REGEXEXTRACT(TEXT(INDIRECT(""'Ответы на форму (1)'!E""&amp;$G166,TRUE),""####""),""[0-9]+"")),INDIRECT(""'Ответы на форму (1)'!E""&amp;$G166,TRUE))"),"Академический лицей при ОмГПУ")</f>
        <v>Академический лицей при ОмГПУ</v>
      </c>
      <c r="E166" s="0" t="e">
        <f aca="true">INDIRECT("'Ответы на форму (1)'!I"&amp;$G166,TRUE())</f>
        <v>#REF!</v>
      </c>
      <c r="F166" s="0" t="e">
        <f aca="true">INDIRECT("'Ответы на форму (1)'!J"&amp;$G166,TRUE())</f>
        <v>#REF!</v>
      </c>
      <c r="G166" s="1" t="n">
        <v>39</v>
      </c>
    </row>
    <row r="167" customFormat="false" ht="15.75" hidden="false" customHeight="false" outlineLevel="0" collapsed="false">
      <c r="A167" s="0" t="e">
        <f aca="true">INDIRECT("'Ответы на форму (1)'!B"&amp;$G167,TRUE())</f>
        <v>#REF!</v>
      </c>
      <c r="B167" s="0" t="e">
        <f aca="true">INDIRECT("'Ответы на форму (1)'!C"&amp;$G167,TRUE())</f>
        <v>#REF!</v>
      </c>
      <c r="C167" s="0" t="e">
        <f aca="true">INDIRECT("'Ответы на форму (1)'!D"&amp;$G167,TRUE())</f>
        <v>#REF!</v>
      </c>
      <c r="D167" s="0" t="str">
        <f aca="false">IFERROR(__xludf.dummyfunction("iferror(VALUE(REGEXEXTRACT(TEXT(INDIRECT(""'Ответы на форму (1)'!E""&amp;$G167,TRUE),""####""),""[0-9]+"")),INDIRECT(""'Ответы на форму (1)'!E""&amp;$G167,TRUE))"),"Лицей НИУ ВШЭ")</f>
        <v>Лицей НИУ ВШЭ</v>
      </c>
      <c r="E167" s="0" t="e">
        <f aca="true">INDIRECT("'Ответы на форму (1)'!I"&amp;$G167,TRUE())</f>
        <v>#REF!</v>
      </c>
      <c r="F167" s="0" t="e">
        <f aca="true">INDIRECT("'Ответы на форму (1)'!J"&amp;$G167,TRUE())</f>
        <v>#REF!</v>
      </c>
      <c r="G167" s="1" t="n">
        <v>53</v>
      </c>
    </row>
    <row r="168" customFormat="false" ht="15.75" hidden="false" customHeight="false" outlineLevel="0" collapsed="false">
      <c r="A168" s="0" t="e">
        <f aca="true">INDIRECT("'Ответы на форму (1)'!B"&amp;$G168,TRUE())</f>
        <v>#REF!</v>
      </c>
      <c r="B168" s="0" t="e">
        <f aca="true">INDIRECT("'Ответы на форму (1)'!C"&amp;$G168,TRUE())</f>
        <v>#REF!</v>
      </c>
      <c r="C168" s="0" t="e">
        <f aca="true">INDIRECT("'Ответы на форму (1)'!D"&amp;$G168,TRUE())</f>
        <v>#REF!</v>
      </c>
      <c r="D168" s="0" t="n">
        <f aca="false">IFERROR(__xludf.dummyfunction("iferror(VALUE(REGEXEXTRACT(TEXT(INDIRECT(""'Ответы на форму (1)'!E""&amp;$G168,TRUE),""####""),""[0-9]+"")),INDIRECT(""'Ответы на форму (1)'!E""&amp;$G168,TRUE))"),64)</f>
        <v>64</v>
      </c>
      <c r="E168" s="0" t="e">
        <f aca="true">INDIRECT("'Ответы на форму (1)'!I"&amp;$G168,TRUE())</f>
        <v>#REF!</v>
      </c>
      <c r="F168" s="0" t="e">
        <f aca="true">INDIRECT("'Ответы на форму (1)'!J"&amp;$G168,TRUE())</f>
        <v>#REF!</v>
      </c>
      <c r="G168" s="1" t="n">
        <v>61</v>
      </c>
    </row>
    <row r="169" customFormat="false" ht="15.75" hidden="false" customHeight="false" outlineLevel="0" collapsed="false">
      <c r="A169" s="0" t="e">
        <f aca="true">INDIRECT("'Ответы на форму (1)'!B"&amp;$G169,TRUE())</f>
        <v>#REF!</v>
      </c>
      <c r="B169" s="0" t="e">
        <f aca="true">INDIRECT("'Ответы на форму (1)'!C"&amp;$G169,TRUE())</f>
        <v>#REF!</v>
      </c>
      <c r="C169" s="0" t="e">
        <f aca="true">INDIRECT("'Ответы на форму (1)'!D"&amp;$G169,TRUE())</f>
        <v>#REF!</v>
      </c>
      <c r="D169" s="0" t="n">
        <f aca="false">IFERROR(__xludf.dummyfunction("iferror(VALUE(REGEXEXTRACT(TEXT(INDIRECT(""'Ответы на форму (1)'!E""&amp;$G169,TRUE),""####""),""[0-9]+"")),INDIRECT(""'Ответы на форму (1)'!E""&amp;$G169,TRUE))"),166)</f>
        <v>166</v>
      </c>
      <c r="E169" s="0" t="e">
        <f aca="true">INDIRECT("'Ответы на форму (1)'!I"&amp;$G169,TRUE())</f>
        <v>#REF!</v>
      </c>
      <c r="F169" s="0" t="e">
        <f aca="true">INDIRECT("'Ответы на форму (1)'!J"&amp;$G169,TRUE())</f>
        <v>#REF!</v>
      </c>
      <c r="G169" s="1" t="n">
        <v>42</v>
      </c>
    </row>
    <row r="170" customFormat="false" ht="15.75" hidden="false" customHeight="false" outlineLevel="0" collapsed="false">
      <c r="A170" s="0" t="e">
        <f aca="true">INDIRECT("'Ответы на форму (1)'!B"&amp;$G170,TRUE())</f>
        <v>#REF!</v>
      </c>
      <c r="B170" s="0" t="e">
        <f aca="true">INDIRECT("'Ответы на форму (1)'!C"&amp;$G170,TRUE())</f>
        <v>#REF!</v>
      </c>
      <c r="C170" s="0" t="e">
        <f aca="true">INDIRECT("'Ответы на форму (1)'!D"&amp;$G170,TRUE())</f>
        <v>#REF!</v>
      </c>
      <c r="D170" s="0" t="n">
        <f aca="false">IFERROR(__xludf.dummyfunction("iferror(VALUE(REGEXEXTRACT(TEXT(INDIRECT(""'Ответы на форму (1)'!E""&amp;$G170,TRUE),""####""),""[0-9]+"")),INDIRECT(""'Ответы на форму (1)'!E""&amp;$G170,TRUE))"),117)</f>
        <v>117</v>
      </c>
      <c r="E170" s="0" t="e">
        <f aca="true">INDIRECT("'Ответы на форму (1)'!I"&amp;$G170,TRUE())</f>
        <v>#REF!</v>
      </c>
      <c r="F170" s="0" t="e">
        <f aca="true">INDIRECT("'Ответы на форму (1)'!J"&amp;$G170,TRUE())</f>
        <v>#REF!</v>
      </c>
      <c r="G170" s="1" t="n">
        <v>87</v>
      </c>
    </row>
    <row r="171" customFormat="false" ht="15.75" hidden="false" customHeight="false" outlineLevel="0" collapsed="false">
      <c r="A171" s="0" t="e">
        <f aca="true">INDIRECT("'Ответы на форму (1)'!B"&amp;$G171,TRUE())</f>
        <v>#REF!</v>
      </c>
      <c r="B171" s="0" t="e">
        <f aca="true">INDIRECT("'Ответы на форму (1)'!C"&amp;$G171,TRUE())</f>
        <v>#REF!</v>
      </c>
      <c r="C171" s="0" t="e">
        <f aca="true">INDIRECT("'Ответы на форму (1)'!D"&amp;$G171,TRUE())</f>
        <v>#REF!</v>
      </c>
      <c r="D171" s="0" t="str">
        <f aca="false">IFERROR(__xludf.dummyfunction("iferror(VALUE(REGEXEXTRACT(TEXT(INDIRECT(""'Ответы на форму (1)'!E""&amp;$G171,TRUE),""####""),""[0-9]+"")),INDIRECT(""'Ответы на форму (1)'!E""&amp;$G171,TRUE))"),"")</f>
        <v/>
      </c>
      <c r="E171" s="0" t="e">
        <f aca="true">INDIRECT("'Ответы на форму (1)'!I"&amp;$G171,TRUE())</f>
        <v>#REF!</v>
      </c>
      <c r="F171" s="0" t="e">
        <f aca="true">INDIRECT("'Ответы на форму (1)'!J"&amp;$G171,TRUE())</f>
        <v>#REF!</v>
      </c>
      <c r="G171" s="1" t="n">
        <v>194</v>
      </c>
    </row>
    <row r="172" customFormat="false" ht="15.75" hidden="false" customHeight="false" outlineLevel="0" collapsed="false">
      <c r="A172" s="0" t="e">
        <f aca="true">INDIRECT("'Ответы на форму (1)'!B"&amp;$G172,TRUE())</f>
        <v>#REF!</v>
      </c>
      <c r="B172" s="0" t="e">
        <f aca="true">INDIRECT("'Ответы на форму (1)'!C"&amp;$G172,TRUE())</f>
        <v>#REF!</v>
      </c>
      <c r="C172" s="0" t="e">
        <f aca="true">INDIRECT("'Ответы на форму (1)'!D"&amp;$G172,TRUE())</f>
        <v>#REF!</v>
      </c>
      <c r="D172" s="0" t="str">
        <f aca="false">IFERROR(__xludf.dummyfunction("iferror(VALUE(REGEXEXTRACT(TEXT(INDIRECT(""'Ответы на форму (1)'!E""&amp;$G172,TRUE),""####""),""[0-9]+"")),INDIRECT(""'Ответы на форму (1)'!E""&amp;$G172,TRUE))"),"")</f>
        <v/>
      </c>
      <c r="E172" s="0" t="e">
        <f aca="true">INDIRECT("'Ответы на форму (1)'!I"&amp;$G172,TRUE())</f>
        <v>#REF!</v>
      </c>
      <c r="F172" s="0" t="e">
        <f aca="true">INDIRECT("'Ответы на форму (1)'!J"&amp;$G172,TRUE())</f>
        <v>#REF!</v>
      </c>
      <c r="G172" s="1" t="n">
        <v>195</v>
      </c>
    </row>
    <row r="173" customFormat="false" ht="15.75" hidden="false" customHeight="false" outlineLevel="0" collapsed="false">
      <c r="A173" s="0" t="e">
        <f aca="true">INDIRECT("'Ответы на форму (1)'!B"&amp;$G173,TRUE())</f>
        <v>#REF!</v>
      </c>
      <c r="B173" s="0" t="e">
        <f aca="true">INDIRECT("'Ответы на форму (1)'!C"&amp;$G173,TRUE())</f>
        <v>#REF!</v>
      </c>
      <c r="C173" s="0" t="e">
        <f aca="true">INDIRECT("'Ответы на форму (1)'!D"&amp;$G173,TRUE())</f>
        <v>#REF!</v>
      </c>
      <c r="D173" s="0" t="str">
        <f aca="false">IFERROR(__xludf.dummyfunction("iferror(VALUE(REGEXEXTRACT(TEXT(INDIRECT(""'Ответы на форму (1)'!E""&amp;$G173,TRUE),""####""),""[0-9]+"")),INDIRECT(""'Ответы на форму (1)'!E""&amp;$G173,TRUE))"),"")</f>
        <v/>
      </c>
      <c r="E173" s="0" t="e">
        <f aca="true">INDIRECT("'Ответы на форму (1)'!I"&amp;$G173,TRUE())</f>
        <v>#REF!</v>
      </c>
      <c r="F173" s="0" t="e">
        <f aca="true">INDIRECT("'Ответы на форму (1)'!J"&amp;$G173,TRUE())</f>
        <v>#REF!</v>
      </c>
      <c r="G173" s="1" t="n">
        <v>196</v>
      </c>
    </row>
    <row r="174" customFormat="false" ht="15.75" hidden="false" customHeight="false" outlineLevel="0" collapsed="false">
      <c r="A174" s="0" t="e">
        <f aca="true">INDIRECT("'Ответы на форму (1)'!B"&amp;$G174,TRUE())</f>
        <v>#REF!</v>
      </c>
      <c r="B174" s="0" t="e">
        <f aca="true">INDIRECT("'Ответы на форму (1)'!C"&amp;$G174,TRUE())</f>
        <v>#REF!</v>
      </c>
      <c r="C174" s="0" t="e">
        <f aca="true">INDIRECT("'Ответы на форму (1)'!D"&amp;$G174,TRUE())</f>
        <v>#REF!</v>
      </c>
      <c r="D174" s="0" t="str">
        <f aca="false">IFERROR(__xludf.dummyfunction("iferror(VALUE(REGEXEXTRACT(TEXT(INDIRECT(""'Ответы на форму (1)'!E""&amp;$G174,TRUE),""####""),""[0-9]+"")),INDIRECT(""'Ответы на форму (1)'!E""&amp;$G174,TRUE))"),"")</f>
        <v/>
      </c>
      <c r="E174" s="0" t="e">
        <f aca="true">INDIRECT("'Ответы на форму (1)'!I"&amp;$G174,TRUE())</f>
        <v>#REF!</v>
      </c>
      <c r="F174" s="0" t="e">
        <f aca="true">INDIRECT("'Ответы на форму (1)'!J"&amp;$G174,TRUE())</f>
        <v>#REF!</v>
      </c>
      <c r="G174" s="1" t="n">
        <v>197</v>
      </c>
    </row>
    <row r="175" customFormat="false" ht="15.75" hidden="false" customHeight="false" outlineLevel="0" collapsed="false">
      <c r="A175" s="0" t="e">
        <f aca="true">INDIRECT("'Ответы на форму (1)'!B"&amp;$G175,TRUE())</f>
        <v>#REF!</v>
      </c>
      <c r="B175" s="0" t="e">
        <f aca="true">INDIRECT("'Ответы на форму (1)'!C"&amp;$G175,TRUE())</f>
        <v>#REF!</v>
      </c>
      <c r="C175" s="0" t="e">
        <f aca="true">INDIRECT("'Ответы на форму (1)'!D"&amp;$G175,TRUE())</f>
        <v>#REF!</v>
      </c>
      <c r="D175" s="0" t="str">
        <f aca="false">IFERROR(__xludf.dummyfunction("iferror(VALUE(REGEXEXTRACT(TEXT(INDIRECT(""'Ответы на форму (1)'!E""&amp;$G175,TRUE),""####""),""[0-9]+"")),INDIRECT(""'Ответы на форму (1)'!E""&amp;$G175,TRUE))"),"")</f>
        <v/>
      </c>
      <c r="E175" s="0" t="e">
        <f aca="true">INDIRECT("'Ответы на форму (1)'!I"&amp;$G175,TRUE())</f>
        <v>#REF!</v>
      </c>
      <c r="F175" s="0" t="e">
        <f aca="true">INDIRECT("'Ответы на форму (1)'!J"&amp;$G175,TRUE())</f>
        <v>#REF!</v>
      </c>
      <c r="G175" s="1" t="n">
        <v>198</v>
      </c>
    </row>
    <row r="176" customFormat="false" ht="15.75" hidden="false" customHeight="false" outlineLevel="0" collapsed="false">
      <c r="A176" s="0" t="e">
        <f aca="true">INDIRECT("'Ответы на форму (1)'!B"&amp;$G176,TRUE())</f>
        <v>#REF!</v>
      </c>
      <c r="B176" s="0" t="e">
        <f aca="true">INDIRECT("'Ответы на форму (1)'!C"&amp;$G176,TRUE())</f>
        <v>#REF!</v>
      </c>
      <c r="C176" s="0" t="e">
        <f aca="true">INDIRECT("'Ответы на форму (1)'!D"&amp;$G176,TRUE())</f>
        <v>#REF!</v>
      </c>
      <c r="D176" s="0" t="str">
        <f aca="false">IFERROR(__xludf.dummyfunction("iferror(VALUE(REGEXEXTRACT(TEXT(INDIRECT(""'Ответы на форму (1)'!E""&amp;$G176,TRUE),""####""),""[0-9]+"")),INDIRECT(""'Ответы на форму (1)'!E""&amp;$G176,TRUE))"),"")</f>
        <v/>
      </c>
      <c r="E176" s="0" t="e">
        <f aca="true">INDIRECT("'Ответы на форму (1)'!I"&amp;$G176,TRUE())</f>
        <v>#REF!</v>
      </c>
      <c r="F176" s="0" t="e">
        <f aca="true">INDIRECT("'Ответы на форму (1)'!J"&amp;$G176,TRUE())</f>
        <v>#REF!</v>
      </c>
      <c r="G176" s="1" t="n">
        <v>199</v>
      </c>
    </row>
    <row r="177" customFormat="false" ht="15.75" hidden="false" customHeight="false" outlineLevel="0" collapsed="false">
      <c r="A177" s="0" t="e">
        <f aca="true">INDIRECT("'Ответы на форму (1)'!B"&amp;$G177,TRUE())</f>
        <v>#REF!</v>
      </c>
      <c r="B177" s="0" t="e">
        <f aca="true">INDIRECT("'Ответы на форму (1)'!C"&amp;$G177,TRUE())</f>
        <v>#REF!</v>
      </c>
      <c r="C177" s="0" t="e">
        <f aca="true">INDIRECT("'Ответы на форму (1)'!D"&amp;$G177,TRUE())</f>
        <v>#REF!</v>
      </c>
      <c r="D177" s="0" t="str">
        <f aca="false">IFERROR(__xludf.dummyfunction("iferror(VALUE(REGEXEXTRACT(TEXT(INDIRECT(""'Ответы на форму (1)'!E""&amp;$G177,TRUE),""####""),""[0-9]+"")),INDIRECT(""'Ответы на форму (1)'!E""&amp;$G177,TRUE))"),"")</f>
        <v/>
      </c>
      <c r="E177" s="0" t="e">
        <f aca="true">INDIRECT("'Ответы на форму (1)'!I"&amp;$G177,TRUE())</f>
        <v>#REF!</v>
      </c>
      <c r="F177" s="0" t="e">
        <f aca="true">INDIRECT("'Ответы на форму (1)'!J"&amp;$G177,TRUE())</f>
        <v>#REF!</v>
      </c>
      <c r="G177" s="1" t="n">
        <v>200</v>
      </c>
    </row>
    <row r="178" customFormat="false" ht="15.75" hidden="false" customHeight="false" outlineLevel="0" collapsed="false">
      <c r="A178" s="0" t="e">
        <f aca="true">INDIRECT("'Ответы на форму (1)'!B"&amp;$G178,TRUE())</f>
        <v>#REF!</v>
      </c>
      <c r="B178" s="0" t="e">
        <f aca="true">INDIRECT("'Ответы на форму (1)'!C"&amp;$G178,TRUE())</f>
        <v>#REF!</v>
      </c>
      <c r="C178" s="0" t="e">
        <f aca="true">INDIRECT("'Ответы на форму (1)'!D"&amp;$G178,TRUE())</f>
        <v>#REF!</v>
      </c>
      <c r="D178" s="0" t="str">
        <f aca="false">IFERROR(__xludf.dummyfunction("iferror(VALUE(REGEXEXTRACT(TEXT(INDIRECT(""'Ответы на форму (1)'!E""&amp;$G178,TRUE),""####""),""[0-9]+"")),INDIRECT(""'Ответы на форму (1)'!E""&amp;$G178,TRUE))"),"")</f>
        <v/>
      </c>
      <c r="E178" s="0" t="e">
        <f aca="true">INDIRECT("'Ответы на форму (1)'!I"&amp;$G178,TRUE())</f>
        <v>#REF!</v>
      </c>
      <c r="F178" s="0" t="e">
        <f aca="true">INDIRECT("'Ответы на форму (1)'!J"&amp;$G178,TRUE())</f>
        <v>#REF!</v>
      </c>
      <c r="G178" s="1" t="n">
        <v>201</v>
      </c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49.29"/>
    <col collapsed="false" customWidth="true" hidden="false" outlineLevel="0" max="6" min="6" style="0" width="21.14"/>
    <col collapsed="false" customWidth="true" hidden="false" outlineLevel="0" max="11" min="11" style="0" width="5.57"/>
    <col collapsed="false" customWidth="true" hidden="false" outlineLevel="0" max="13" min="12" style="0" width="5.43"/>
    <col collapsed="false" customWidth="true" hidden="false" outlineLevel="0" max="14" min="14" style="0" width="11.43"/>
    <col collapsed="false" customWidth="true" hidden="false" outlineLevel="0" max="15" min="15" style="0" width="10.99"/>
    <col collapsed="false" customWidth="true" hidden="false" outlineLevel="0" max="16" min="16" style="0" width="26.71"/>
  </cols>
  <sheetData>
    <row r="1" customFormat="false" ht="15.75" hidden="false" customHeight="false" outlineLevel="0" collapsed="false">
      <c r="A1" s="17" t="s">
        <v>737</v>
      </c>
      <c r="B1" s="1" t="s">
        <v>741</v>
      </c>
      <c r="C1" s="1" t="s">
        <v>742</v>
      </c>
      <c r="D1" s="1" t="s">
        <v>743</v>
      </c>
    </row>
    <row r="2" customFormat="false" ht="15.75" hidden="false" customHeight="false" outlineLevel="0" collapsed="false">
      <c r="A2" s="1" t="s">
        <v>80</v>
      </c>
      <c r="B2" s="21" t="n">
        <f aca="false">IFERROR(__xludf.dummyfunction("COUNTIF(FILTER('Переформатированный ответ'!$I$2:$I$179,('Переформатированный ответ'!$M$2:$M$179 &gt;-1)), A2)"),5)</f>
        <v>5</v>
      </c>
      <c r="C2" s="1" t="n">
        <v>16</v>
      </c>
      <c r="D2" s="22" t="str">
        <f aca="false">IF(B2 &lt;= C2, "Все норм", IF(B2 &lt;= C2*1.3, "Почти писос!", "Писос!"))</f>
        <v>Все норм</v>
      </c>
      <c r="H2" s="17" t="s">
        <v>744</v>
      </c>
    </row>
    <row r="3" customFormat="false" ht="15.75" hidden="false" customHeight="false" outlineLevel="0" collapsed="false">
      <c r="A3" s="1" t="s">
        <v>22</v>
      </c>
      <c r="B3" s="21" t="n">
        <f aca="false">IFERROR(__xludf.dummyfunction("COUNTIF(FILTER('Переформатированный ответ'!$I$2:$I$179,('Переформатированный ответ'!$M$2:$M$179 &gt;-1)), A3)"),11)</f>
        <v>11</v>
      </c>
      <c r="C3" s="1" t="n">
        <v>30</v>
      </c>
      <c r="D3" s="22" t="str">
        <f aca="false">IF(B3 &lt;= C3, "Все норм", IF(B3 &lt;= C3*1.3, "Почти писос!", "Писос!"))</f>
        <v>Все норм</v>
      </c>
      <c r="H3" s="11" t="n">
        <f aca="false">IFERROR(__xludf.dummyfunction("FILTER('Переформатированный ответ'!$A$2:$I$183,ARRAYFORMULA('Переформатированный ответ'!$I$2:$I$183 = 'Переформатированный ответ'!$J$2:$J$183))"),43220.4297098148)</f>
        <v>43220.42971</v>
      </c>
      <c r="I3" s="0" t="str">
        <f aca="false">IFERROR(__xludf.dummyfunction("""COMPUTED_VALUE"""),"Свиридова ")</f>
        <v>Свиридова</v>
      </c>
      <c r="J3" s="0" t="str">
        <f aca="false">IFERROR(__xludf.dummyfunction("""COMPUTED_VALUE"""),"Мария")</f>
        <v>Мария</v>
      </c>
      <c r="K3" s="0" t="n">
        <f aca="false">IFERROR(__xludf.dummyfunction("""COMPUTED_VALUE"""),8)</f>
        <v>8</v>
      </c>
      <c r="L3" s="0" t="n">
        <f aca="false">IFERROR(__xludf.dummyfunction("""COMPUTED_VALUE"""),19)</f>
        <v>19</v>
      </c>
      <c r="N3" s="0" t="str">
        <f aca="false">IFERROR(__xludf.dummyfunction("""COMPUTED_VALUE"""),"Нет")</f>
        <v>Нет</v>
      </c>
      <c r="O3" s="0" t="str">
        <f aca="false">IFERROR(__xludf.dummyfunction("""COMPUTED_VALUE"""),"sviridova76@gmail.com")</f>
        <v>sviridova76@gmail.com</v>
      </c>
      <c r="P3" s="0" t="str">
        <f aca="false">IFERROR(__xludf.dummyfunction("""COMPUTED_VALUE"""),"Биология")</f>
        <v>Биология</v>
      </c>
    </row>
    <row r="4" customFormat="false" ht="15.75" hidden="false" customHeight="false" outlineLevel="0" collapsed="false">
      <c r="A4" s="1" t="s">
        <v>29</v>
      </c>
      <c r="B4" s="21" t="n">
        <f aca="false">IFERROR(__xludf.dummyfunction("COUNTIF(FILTER('Переформатированный ответ'!$I$2:$I$179,('Переформатированный ответ'!$M$2:$M$179 &gt;-1)), A4)"),15)</f>
        <v>15</v>
      </c>
      <c r="C4" s="1" t="n">
        <v>14</v>
      </c>
      <c r="D4" s="22" t="str">
        <f aca="false">IF(B4 &lt;= C4, "Все норм", IF(B4 &lt;= C4*1.3, "Почти писос!", "Писос!"))</f>
        <v>Почти писос!</v>
      </c>
      <c r="H4" s="11" t="n">
        <f aca="false">IFERROR(__xludf.dummyfunction("""COMPUTED_VALUE"""),43220.5929749537)</f>
        <v>43220.59297</v>
      </c>
      <c r="I4" s="0" t="str">
        <f aca="false">IFERROR(__xludf.dummyfunction("""COMPUTED_VALUE"""),"Франк")</f>
        <v>Франк</v>
      </c>
      <c r="J4" s="0" t="str">
        <f aca="false">IFERROR(__xludf.dummyfunction("""COMPUTED_VALUE"""),"Яна")</f>
        <v>Яна</v>
      </c>
      <c r="K4" s="0" t="n">
        <f aca="false">IFERROR(__xludf.dummyfunction("""COMPUTED_VALUE"""),10)</f>
        <v>10</v>
      </c>
      <c r="L4" s="0" t="n">
        <f aca="false">IFERROR(__xludf.dummyfunction("""COMPUTED_VALUE"""),117)</f>
        <v>117</v>
      </c>
      <c r="N4" s="12" t="str">
        <f aca="false">IFERROR(__xludf.dummyfunction("""COMPUTED_VALUE"""),"vk.com/yanafrank")</f>
        <v>vk.com/yanafrank</v>
      </c>
      <c r="O4" s="0" t="str">
        <f aca="false">IFERROR(__xludf.dummyfunction("""COMPUTED_VALUE"""),"yana.f.2000@mail.ru")</f>
        <v>yana.f.2000@mail.ru</v>
      </c>
      <c r="P4" s="0" t="str">
        <f aca="false">IFERROR(__xludf.dummyfunction("""COMPUTED_VALUE"""),"Олимпиадная химия")</f>
        <v>Олимпиадная химия</v>
      </c>
    </row>
    <row r="5" customFormat="false" ht="15.75" hidden="false" customHeight="false" outlineLevel="0" collapsed="false">
      <c r="A5" s="1" t="s">
        <v>51</v>
      </c>
      <c r="B5" s="21" t="n">
        <f aca="false">IFERROR(__xludf.dummyfunction("COUNTIF(FILTER('Переформатированный ответ'!$I$2:$I$179,('Переформатированный ответ'!$M$2:$M$179 &gt;-1)), A5)"),10)</f>
        <v>10</v>
      </c>
      <c r="C5" s="1" t="n">
        <v>15</v>
      </c>
      <c r="D5" s="22" t="str">
        <f aca="false">IF(B5 &lt;= C5, "Все норм", IF(B5 &lt;= C5*1.3, "Почти писос!", "Писос!"))</f>
        <v>Все норм</v>
      </c>
      <c r="F5" s="23" t="s">
        <v>745</v>
      </c>
      <c r="H5" s="11" t="n">
        <f aca="false">IFERROR(__xludf.dummyfunction("""COMPUTED_VALUE"""),43222.4124764931)</f>
        <v>43222.41248</v>
      </c>
      <c r="I5" s="0" t="str">
        <f aca="false">IFERROR(__xludf.dummyfunction("""COMPUTED_VALUE"""),"Константинова ")</f>
        <v>Константинова</v>
      </c>
      <c r="J5" s="0" t="str">
        <f aca="false">IFERROR(__xludf.dummyfunction("""COMPUTED_VALUE"""),"Екатерина ")</f>
        <v>Екатерина</v>
      </c>
      <c r="K5" s="0" t="n">
        <f aca="false">IFERROR(__xludf.dummyfunction("""COMPUTED_VALUE"""),9)</f>
        <v>9</v>
      </c>
      <c r="L5" s="0" t="n">
        <f aca="false">IFERROR(__xludf.dummyfunction("""COMPUTED_VALUE"""),139)</f>
        <v>139</v>
      </c>
      <c r="N5" s="12" t="str">
        <f aca="false">IFERROR(__xludf.dummyfunction("""COMPUTED_VALUE"""),"vk.com/alinasavchenko0")</f>
        <v>vk.com/alinasavchenko0</v>
      </c>
      <c r="O5" s="0" t="str">
        <f aca="false">IFERROR(__xludf.dummyfunction("""COMPUTED_VALUE"""),"ekatty02@mail.ru")</f>
        <v>ekatty02@mail.ru</v>
      </c>
      <c r="P5" s="0" t="str">
        <f aca="false">IFERROR(__xludf.dummyfunction("""COMPUTED_VALUE"""),"Олимпиадная математика")</f>
        <v>Олимпиадная математика</v>
      </c>
    </row>
    <row r="6" customFormat="false" ht="15.75" hidden="false" customHeight="false" outlineLevel="0" collapsed="false">
      <c r="A6" s="1" t="s">
        <v>70</v>
      </c>
      <c r="B6" s="21" t="n">
        <f aca="false">IFERROR(__xludf.dummyfunction("COUNTIF(FILTER('Переформатированный ответ'!$I$2:$I$179,('Переформатированный ответ'!$M$2:$M$179 &gt;-1)), A6)"),21)</f>
        <v>21</v>
      </c>
      <c r="C6" s="1" t="n">
        <v>20</v>
      </c>
      <c r="D6" s="22" t="str">
        <f aca="false">IF(B6 &lt;= C6, "Все норм", IF(B6 &lt;= C6*1.3, "Почти писос!", "Писос!"))</f>
        <v>Почти писос!</v>
      </c>
      <c r="F6" s="24" t="n">
        <f aca="false">COUNTA('Переформатированный ответ'!$B$2:$B$200)</f>
        <v>172</v>
      </c>
      <c r="H6" s="11" t="n">
        <f aca="false">IFERROR(__xludf.dummyfunction("""COMPUTED_VALUE"""),43223.7547053009)</f>
        <v>43223.75471</v>
      </c>
      <c r="I6" s="0" t="str">
        <f aca="false">IFERROR(__xludf.dummyfunction("""COMPUTED_VALUE"""),"Торопов")</f>
        <v>Торопов</v>
      </c>
      <c r="J6" s="0" t="str">
        <f aca="false">IFERROR(__xludf.dummyfunction("""COMPUTED_VALUE"""),"Павел")</f>
        <v>Павел</v>
      </c>
      <c r="K6" s="0" t="n">
        <f aca="false">IFERROR(__xludf.dummyfunction("""COMPUTED_VALUE"""),9)</f>
        <v>9</v>
      </c>
      <c r="L6" s="0" t="n">
        <f aca="false">IFERROR(__xludf.dummyfunction("""COMPUTED_VALUE"""),117)</f>
        <v>117</v>
      </c>
      <c r="N6" s="12" t="str">
        <f aca="false">IFERROR(__xludf.dummyfunction("""COMPUTED_VALUE"""),"vk.com/avstralo_pitek")</f>
        <v>vk.com/avstralo_pitek</v>
      </c>
      <c r="O6" s="0" t="str">
        <f aca="false">IFERROR(__xludf.dummyfunction("""COMPUTED_VALUE"""),"ptoropov02@mail.ru")</f>
        <v>ptoropov02@mail.ru</v>
      </c>
      <c r="P6" s="0" t="str">
        <f aca="false">IFERROR(__xludf.dummyfunction("""COMPUTED_VALUE"""),"Олимпиадная химия")</f>
        <v>Олимпиадная химия</v>
      </c>
    </row>
    <row r="7" customFormat="false" ht="15.75" hidden="false" customHeight="false" outlineLevel="0" collapsed="false">
      <c r="A7" s="1" t="s">
        <v>50</v>
      </c>
      <c r="B7" s="21" t="n">
        <f aca="false">IFERROR(__xludf.dummyfunction("COUNTIF(FILTER('Переформатированный ответ'!$I$2:$I$179,('Переформатированный ответ'!$M$2:$M$179 &gt;-1)), A7)"),22)</f>
        <v>22</v>
      </c>
      <c r="C7" s="1" t="n">
        <v>22</v>
      </c>
      <c r="D7" s="22" t="str">
        <f aca="false">IF(B7 &lt;= C7, "Все норм", IF(B7 &lt;= C7*1.3, "Почти писос!", "Писос!"))</f>
        <v>Все норм</v>
      </c>
      <c r="F7" s="24"/>
      <c r="H7" s="11" t="n">
        <f aca="false">IFERROR(__xludf.dummyfunction("""COMPUTED_VALUE"""),43223.7593068056)</f>
        <v>43223.75931</v>
      </c>
      <c r="I7" s="0" t="str">
        <f aca="false">IFERROR(__xludf.dummyfunction("""COMPUTED_VALUE"""),"Глинская")</f>
        <v>Глинская</v>
      </c>
      <c r="J7" s="0" t="str">
        <f aca="false">IFERROR(__xludf.dummyfunction("""COMPUTED_VALUE"""),"Таисия")</f>
        <v>Таисия</v>
      </c>
      <c r="K7" s="0" t="n">
        <f aca="false">IFERROR(__xludf.dummyfunction("""COMPUTED_VALUE"""),9)</f>
        <v>9</v>
      </c>
      <c r="L7" s="0" t="n">
        <f aca="false">IFERROR(__xludf.dummyfunction("""COMPUTED_VALUE"""),117)</f>
        <v>117</v>
      </c>
      <c r="N7" s="12" t="str">
        <f aca="false">IFERROR(__xludf.dummyfunction("""COMPUTED_VALUE"""),"vk.com/id200827263")</f>
        <v>vk.com/id200827263</v>
      </c>
      <c r="O7" s="0" t="str">
        <f aca="false">IFERROR(__xludf.dummyfunction("""COMPUTED_VALUE"""),"tasia-rabbit@yandex.ru")</f>
        <v>tasia-rabbit@yandex.ru</v>
      </c>
      <c r="P7" s="0" t="str">
        <f aca="false">IFERROR(__xludf.dummyfunction("""COMPUTED_VALUE"""),"Олимпиадная химия")</f>
        <v>Олимпиадная химия</v>
      </c>
    </row>
    <row r="8" customFormat="false" ht="15.75" hidden="false" customHeight="false" outlineLevel="0" collapsed="false">
      <c r="A8" s="1" t="s">
        <v>14</v>
      </c>
      <c r="B8" s="21" t="n">
        <f aca="false">IFERROR(__xludf.dummyfunction("COUNTIF(FILTER('Переформатированный ответ'!$I$2:$I$179,('Переформатированный ответ'!$M$2:$M$179 &gt;-1)), A8)"),28)</f>
        <v>28</v>
      </c>
      <c r="C8" s="1" t="n">
        <v>25</v>
      </c>
      <c r="D8" s="22" t="str">
        <f aca="false">IF(B8 &lt;= C8, "Все норм", IF(B8 &lt;= C8*1.3, "Почти писос!", "Писос!"))</f>
        <v>Почти писос!</v>
      </c>
      <c r="E8" s="1"/>
      <c r="F8" s="24"/>
      <c r="H8" s="11" t="n">
        <f aca="false">IFERROR(__xludf.dummyfunction("""COMPUTED_VALUE"""),43223.7834150579)</f>
        <v>43223.78342</v>
      </c>
      <c r="I8" s="0" t="str">
        <f aca="false">IFERROR(__xludf.dummyfunction("""COMPUTED_VALUE"""),"Матвиец")</f>
        <v>Матвиец</v>
      </c>
      <c r="J8" s="0" t="str">
        <f aca="false">IFERROR(__xludf.dummyfunction("""COMPUTED_VALUE"""),"Кирилл")</f>
        <v>Кирилл</v>
      </c>
      <c r="K8" s="0" t="n">
        <f aca="false">IFERROR(__xludf.dummyfunction("""COMPUTED_VALUE"""),9)</f>
        <v>9</v>
      </c>
      <c r="L8" s="0" t="n">
        <f aca="false">IFERROR(__xludf.dummyfunction("""COMPUTED_VALUE"""),117)</f>
        <v>117</v>
      </c>
      <c r="N8" s="12" t="str">
        <f aca="false">IFERROR(__xludf.dummyfunction("""COMPUTED_VALUE"""),"vk.com/scumlife69")</f>
        <v>vk.com/scumlife69</v>
      </c>
      <c r="O8" s="0" t="str">
        <f aca="false">IFERROR(__xludf.dummyfunction("""COMPUTED_VALUE"""),"pororo332@mail.ru")</f>
        <v>pororo332@mail.ru</v>
      </c>
      <c r="P8" s="0" t="str">
        <f aca="false">IFERROR(__xludf.dummyfunction("""COMPUTED_VALUE"""),"Олимпиадная математика")</f>
        <v>Олимпиадная математика</v>
      </c>
    </row>
    <row r="9" customFormat="false" ht="15.75" hidden="false" customHeight="false" outlineLevel="0" collapsed="false">
      <c r="A9" s="1" t="s">
        <v>180</v>
      </c>
      <c r="B9" s="21" t="n">
        <f aca="false">IFERROR(__xludf.dummyfunction("COUNTIF(FILTER('Переформатированный ответ'!$I$2:$I$179,('Переформатированный ответ'!$M$2:$M$179 &gt;-1)), A9)"),3)</f>
        <v>3</v>
      </c>
      <c r="C9" s="1" t="n">
        <v>10</v>
      </c>
      <c r="D9" s="22" t="str">
        <f aca="false">IF(B9 &lt;= C9, "Все норм", IF(B9 &lt;= C9*1.3, "Почти писос!", "Писос!"))</f>
        <v>Все норм</v>
      </c>
      <c r="F9" s="24"/>
    </row>
    <row r="10" customFormat="false" ht="15.75" hidden="false" customHeight="false" outlineLevel="0" collapsed="false">
      <c r="A10" s="1" t="s">
        <v>15</v>
      </c>
      <c r="B10" s="21" t="n">
        <f aca="false">IFERROR(__xludf.dummyfunction("COUNTIF(FILTER('Переформатированный ответ'!$I$2:$I$179,('Переформатированный ответ'!$M$2:$M$179 &gt;-1)), A10)"),14)</f>
        <v>14</v>
      </c>
      <c r="C10" s="1" t="n">
        <v>30</v>
      </c>
      <c r="D10" s="22" t="str">
        <f aca="false">IF(B10 &lt;= C10, "Все норм", IF(B10 &lt;= C10*1.3, "Почти писос!", "Писос!"))</f>
        <v>Все норм</v>
      </c>
    </row>
    <row r="11" customFormat="false" ht="15.75" hidden="false" customHeight="false" outlineLevel="0" collapsed="false">
      <c r="A11" s="1" t="s">
        <v>40</v>
      </c>
      <c r="B11" s="21" t="n">
        <f aca="false">IFERROR(__xludf.dummyfunction("COUNTIF(FILTER('Переформатированный ответ'!$I$2:$I$179,('Переформатированный ответ'!$M$2:$M$179 &gt;-1)), A11)"),20)</f>
        <v>20</v>
      </c>
      <c r="C11" s="1" t="n">
        <v>20</v>
      </c>
      <c r="D11" s="22" t="str">
        <f aca="false">IF(B11 &lt;= C11, "Все норм", IF(B11 &lt;= C11*1.3, "Почти писос!", "Писос!"))</f>
        <v>Все норм</v>
      </c>
    </row>
    <row r="12" customFormat="false" ht="15.75" hidden="false" customHeight="false" outlineLevel="0" collapsed="false">
      <c r="A12" s="1" t="s">
        <v>148</v>
      </c>
      <c r="B12" s="21" t="n">
        <f aca="false">IFERROR(__xludf.dummyfunction("COUNTIF(FILTER('Переформатированный ответ'!$I$2:$I$179,('Переформатированный ответ'!$M$2:$M$179 &gt;-1)), A12)"),6)</f>
        <v>6</v>
      </c>
      <c r="C12" s="1"/>
    </row>
    <row r="13" customFormat="false" ht="15.75" hidden="false" customHeight="false" outlineLevel="0" collapsed="false">
      <c r="B13" s="0" t="n">
        <f aca="false">SUM(B2:B11)</f>
        <v>149</v>
      </c>
    </row>
    <row r="14" customFormat="false" ht="15.75" hidden="false" customHeight="false" outlineLevel="0" collapsed="false">
      <c r="A14" s="17" t="s">
        <v>738</v>
      </c>
    </row>
    <row r="15" customFormat="false" ht="15.75" hidden="false" customHeight="false" outlineLevel="0" collapsed="false">
      <c r="A15" s="1" t="s">
        <v>85</v>
      </c>
      <c r="B15" s="21" t="n">
        <f aca="false">IFERROR(__xludf.dummyfunction("COUNTIF(FILTER('Переформатированный ответ'!$J$2:$J$179,('Переформатированный ответ'!$M$2:$M$179 &gt;-1)), A15)"),23)</f>
        <v>23</v>
      </c>
      <c r="C15" s="1" t="n">
        <v>20</v>
      </c>
      <c r="D15" s="22" t="str">
        <f aca="false">IF(B15 &lt;= C15, "Все норм", IF(B15 &lt;= C15*1.3, "Почти писос!", "Писос!"))</f>
        <v>Почти писос!</v>
      </c>
      <c r="F15" s="17" t="s">
        <v>746</v>
      </c>
    </row>
    <row r="16" customFormat="false" ht="15.75" hidden="false" customHeight="false" outlineLevel="0" collapsed="false">
      <c r="A16" s="1" t="s">
        <v>22</v>
      </c>
      <c r="B16" s="21" t="n">
        <f aca="false">IFERROR(__xludf.dummyfunction("COUNTIF(FILTER('Переформатированный ответ'!$J$2:$J$179,('Переформатированный ответ'!$M$2:$M$179 &gt;-1)), A16)"),12)</f>
        <v>12</v>
      </c>
      <c r="C16" s="1" t="n">
        <v>30</v>
      </c>
      <c r="D16" s="22" t="str">
        <f aca="false">IF(B16 &lt;= C16, "Все норм", IF(B16 &lt;= C16*1.3, "Почти писос!", "Писос!"))</f>
        <v>Все норм</v>
      </c>
      <c r="F16" s="22" t="e">
        <f aca="false">IF(MAX('Переформатированный ответ'!$A$2:$A$172)=MAX(Parse!$A$2:$A$310),"Обновлена","Не обновлена")</f>
        <v>#REF!</v>
      </c>
    </row>
    <row r="17" customFormat="false" ht="15.75" hidden="false" customHeight="false" outlineLevel="0" collapsed="false">
      <c r="A17" s="1" t="s">
        <v>29</v>
      </c>
      <c r="B17" s="21" t="n">
        <f aca="false">IFERROR(__xludf.dummyfunction("COUNTIF(FILTER('Переформатированный ответ'!$J$2:$J$179,('Переформатированный ответ'!$M$2:$M$179 &gt;-1)), A17)"),5)</f>
        <v>5</v>
      </c>
      <c r="C17" s="1" t="n">
        <v>14</v>
      </c>
      <c r="D17" s="22" t="str">
        <f aca="false">IF(B17 &lt;= C17, "Все норм", IF(B17 &lt;= C17*1.3, "Почти писос!", "Писос!"))</f>
        <v>Все норм</v>
      </c>
      <c r="F17" s="25" t="e">
        <f aca="false">IF(F16 = "Обновлена","","Отставание:")</f>
        <v>#REF!</v>
      </c>
    </row>
    <row r="18" customFormat="false" ht="15.75" hidden="false" customHeight="false" outlineLevel="0" collapsed="false">
      <c r="A18" s="1" t="s">
        <v>51</v>
      </c>
      <c r="B18" s="21" t="n">
        <f aca="false">IFERROR(__xludf.dummyfunction("COUNTIF(FILTER('Переформатированный ответ'!$J$2:$J$179,('Переформатированный ответ'!$M$2:$M$179 &gt;-1)), A18)"),13)</f>
        <v>13</v>
      </c>
      <c r="C18" s="1" t="n">
        <v>15</v>
      </c>
      <c r="D18" s="22" t="str">
        <f aca="false">IF(B18 &lt;= C18, "Все норм", IF(B18 &lt;= C18*1.3, "Почти писос!", "Писос!"))</f>
        <v>Все норм</v>
      </c>
      <c r="F18" s="26" t="e">
        <f aca="false">IF(F16 = "Обновлена","",MAX(Parse!$A$2:$A$310)-MAX('Переформатированный ответ'!$A$2:$A$172))</f>
        <v>#REF!</v>
      </c>
    </row>
    <row r="19" customFormat="false" ht="15.75" hidden="false" customHeight="false" outlineLevel="0" collapsed="false">
      <c r="A19" s="1" t="s">
        <v>128</v>
      </c>
      <c r="B19" s="21" t="n">
        <f aca="false">IFERROR(__xludf.dummyfunction("COUNTIF(FILTER('Переформатированный ответ'!$J$2:$J$179,('Переформатированный ответ'!$M$2:$M$179 &gt;-1)), A19)"),1)</f>
        <v>1</v>
      </c>
      <c r="C19" s="1" t="n">
        <v>10</v>
      </c>
      <c r="D19" s="22" t="str">
        <f aca="false">IF(B19 &lt;= C19, "Все норм", IF(B19 &lt;= C19*1.3, "Почти писос!", "Писос!"))</f>
        <v>Все норм</v>
      </c>
      <c r="F19" s="25" t="e">
        <f aca="false">IF(F16 = "Обновлена","","Неучтённые дети:")</f>
        <v>#REF!</v>
      </c>
    </row>
    <row r="20" customFormat="false" ht="15.75" hidden="false" customHeight="false" outlineLevel="0" collapsed="false">
      <c r="A20" s="1" t="s">
        <v>109</v>
      </c>
      <c r="B20" s="21" t="n">
        <f aca="false">IFERROR(__xludf.dummyfunction("COUNTIF(FILTER('Переформатированный ответ'!$J$2:$J$179,('Переформатированный ответ'!$M$2:$M$179 &gt;-1)), A20)"),13)</f>
        <v>13</v>
      </c>
      <c r="C20" s="1" t="n">
        <v>10</v>
      </c>
      <c r="D20" s="22" t="str">
        <f aca="false">IF(B20 &lt;= C20, "Все норм", IF(B20 &lt;= C20*1.3, "Почти писос!", "Писос!"))</f>
        <v>Почти писос!</v>
      </c>
      <c r="F20" s="0" t="e">
        <f aca="false">IF(F16 = "Обновлена","",MATCH(MAX(Parse!$A$2:$A$310),Parse!$A$2:$A$310)-MATCH(MAX('Переформатированный ответ'!$A$2:$A$172),Parse!$A$2:$A$310))</f>
        <v>#REF!</v>
      </c>
    </row>
    <row r="21" customFormat="false" ht="15.75" hidden="false" customHeight="false" outlineLevel="0" collapsed="false">
      <c r="A21" s="1" t="s">
        <v>45</v>
      </c>
      <c r="B21" s="21" t="n">
        <f aca="false">IFERROR(__xludf.dummyfunction("COUNTIF(FILTER('Переформатированный ответ'!$J$2:$J$179,('Переформатированный ответ'!$M$2:$M$179 &gt;-1)), A21)"),11)</f>
        <v>11</v>
      </c>
      <c r="C21" s="1" t="n">
        <v>12</v>
      </c>
      <c r="D21" s="22" t="str">
        <f aca="false">IF(B21 &lt;= C21, "Все норм", IF(B21 &lt;= C21*1.3, "Почти писос!", "Писос!"))</f>
        <v>Все норм</v>
      </c>
      <c r="F21" s="17" t="s">
        <v>747</v>
      </c>
    </row>
    <row r="22" customFormat="false" ht="15.75" hidden="false" customHeight="false" outlineLevel="0" collapsed="false">
      <c r="A22" s="1" t="s">
        <v>23</v>
      </c>
      <c r="B22" s="21" t="n">
        <f aca="false">IFERROR(__xludf.dummyfunction("COUNTIF(FILTER('Переформатированный ответ'!$J$2:$J$179,('Переформатированный ответ'!$M$2:$M$179 &gt;-1)), A22)"),17)</f>
        <v>17</v>
      </c>
      <c r="C22" s="1" t="n">
        <v>20</v>
      </c>
      <c r="D22" s="22" t="str">
        <f aca="false">IF(B22 &lt;= C22, "Все норм", IF(B22 &lt;= C22*1.3, "Почти писос!", "Писос!"))</f>
        <v>Все норм</v>
      </c>
      <c r="F22" s="11" t="n">
        <f aca="false">IFERROR(__xludf.dummyfunction("if(counta(filter('Переформатированный ответ'!$A$2:$J$183,ARRAYFORMULA(COUNTIF(arrayformula(CONCAT(TRIM('Переформатированный ответ'!$B$2:$B$183),TRIM('Переформатированный ответ'!$C$2:$C$183))),CONCAT(TRIM('Переформатированный ответ'!$B$2:$B$183),TRIM('Пере"&amp;"форматированный ответ'!$C$2:$C$183)))&gt;1))) = 0,""Отсутствуют"",filter('Переформатированный ответ'!$A$2:$J$183,ARRAYFORMULA(COUNTIF(arrayformula(CONCAT(TRIM('Переформатированный ответ'!$B$2:$B$183),TRIM('Переформатированный ответ'!$C$2:$C$183))),CONCAT(TRI"&amp;"M('Переформатированный ответ'!$B$2:$B$183),TRIM('Переформатированный ответ'!$C$2:$C$183)))&gt;1)))"),43227.6227551736)</f>
        <v>43227.62276</v>
      </c>
      <c r="G22" s="0" t="str">
        <f aca="false">IFERROR(__xludf.dummyfunction("""COMPUTED_VALUE"""),"Булатова")</f>
        <v>Булатова</v>
      </c>
      <c r="H22" s="0" t="str">
        <f aca="false">IFERROR(__xludf.dummyfunction("""COMPUTED_VALUE"""),"Виталия")</f>
        <v>Виталия</v>
      </c>
      <c r="I22" s="0" t="n">
        <f aca="false">IFERROR(__xludf.dummyfunction("""COMPUTED_VALUE"""),9)</f>
        <v>9</v>
      </c>
      <c r="J22" s="0" t="n">
        <f aca="false">IFERROR(__xludf.dummyfunction("""COMPUTED_VALUE"""),117)</f>
        <v>117</v>
      </c>
      <c r="L22" s="12" t="str">
        <f aca="false">IFERROR(__xludf.dummyfunction("""COMPUTED_VALUE"""),"vk.com/lolpo2006")</f>
        <v>vk.com/lolpo2006</v>
      </c>
      <c r="M22" s="0" t="str">
        <f aca="false">IFERROR(__xludf.dummyfunction("""COMPUTED_VALUE"""),"bulatova_vita@mail.ru")</f>
        <v>bulatova_vita@mail.ru</v>
      </c>
      <c r="N22" s="0" t="str">
        <f aca="false">IFERROR(__xludf.dummyfunction("""COMPUTED_VALUE"""),"Олимпиадная химия")</f>
        <v>Олимпиадная химия</v>
      </c>
      <c r="O22" s="0" t="str">
        <f aca="false">IFERROR(__xludf.dummyfunction("""COMPUTED_VALUE"""),"Введение в российское право")</f>
        <v>Введение в российское право</v>
      </c>
    </row>
    <row r="23" customFormat="false" ht="15.75" hidden="false" customHeight="false" outlineLevel="0" collapsed="false">
      <c r="A23" s="1" t="s">
        <v>65</v>
      </c>
      <c r="B23" s="21" t="n">
        <f aca="false">IFERROR(__xludf.dummyfunction("COUNTIF(FILTER('Переформатированный ответ'!$J$2:$J$179,('Переформатированный ответ'!$M$2:$M$179 &gt;-1)), A23)"),25)</f>
        <v>25</v>
      </c>
      <c r="C23" s="1" t="n">
        <v>30</v>
      </c>
      <c r="D23" s="22" t="str">
        <f aca="false">IF(B23 &lt;= C23, "Все норм", IF(B23 &lt;= C23*1.3, "Почти писос!", "Писос!"))</f>
        <v>Все норм</v>
      </c>
      <c r="G23" s="0" t="str">
        <f aca="false">IFERROR(__xludf.dummyfunction("""COMPUTED_VALUE"""),"Булатова")</f>
        <v>Булатова</v>
      </c>
      <c r="H23" s="0" t="str">
        <f aca="false">IFERROR(__xludf.dummyfunction("""COMPUTED_VALUE"""),"Виталия")</f>
        <v>Виталия</v>
      </c>
      <c r="I23" s="0" t="n">
        <f aca="false">IFERROR(__xludf.dummyfunction("""COMPUTED_VALUE"""),9)</f>
        <v>9</v>
      </c>
      <c r="J23" s="0" t="n">
        <f aca="false">IFERROR(__xludf.dummyfunction("""COMPUTED_VALUE"""),117)</f>
        <v>117</v>
      </c>
      <c r="N23" s="0" t="str">
        <f aca="false">IFERROR(__xludf.dummyfunction("""COMPUTED_VALUE"""),"Олимпиадная химия")</f>
        <v>Олимпиадная химия</v>
      </c>
      <c r="O23" s="0" t="str">
        <f aca="false">IFERROR(__xludf.dummyfunction("""COMPUTED_VALUE"""),"Олимпиадная математика")</f>
        <v>Олимпиадная математика</v>
      </c>
    </row>
    <row r="24" customFormat="false" ht="15.75" hidden="false" customHeight="false" outlineLevel="0" collapsed="false">
      <c r="A24" s="1" t="s">
        <v>15</v>
      </c>
      <c r="B24" s="21" t="n">
        <f aca="false">IFERROR(__xludf.dummyfunction("COUNTIF(FILTER('Переформатированный ответ'!$J$2:$J$179,('Переформатированный ответ'!$M$2:$M$179 &gt;-1)), A24)"),10)</f>
        <v>10</v>
      </c>
      <c r="C24" s="1" t="n">
        <v>30</v>
      </c>
      <c r="D24" s="22" t="str">
        <f aca="false">IF(B24 &lt;= C24, "Все норм", IF(B24 &lt;= C24*1.3, "Почти писос!", "Писос!"))</f>
        <v>Все норм</v>
      </c>
    </row>
    <row r="25" customFormat="false" ht="15.75" hidden="false" customHeight="false" outlineLevel="0" collapsed="false">
      <c r="A25" s="1" t="s">
        <v>40</v>
      </c>
      <c r="B25" s="21" t="n">
        <f aca="false">IFERROR(__xludf.dummyfunction("COUNTIF(FILTER('Переформатированный ответ'!$J$2:$J$179,('Переформатированный ответ'!$M$2:$M$179 &gt;-1)), A25)"),19)</f>
        <v>19</v>
      </c>
      <c r="C25" s="1" t="n">
        <v>20</v>
      </c>
      <c r="D25" s="22" t="str">
        <f aca="false">IF(B25 &lt;= C25, "Все норм", IF(B25 &lt;= C25*1.3, "Почти писос!", "Писос!"))</f>
        <v>Все норм</v>
      </c>
    </row>
    <row r="26" customFormat="false" ht="15.75" hidden="false" customHeight="false" outlineLevel="0" collapsed="false">
      <c r="A26" s="1" t="s">
        <v>148</v>
      </c>
      <c r="B26" s="21" t="n">
        <f aca="false">IFERROR(__xludf.dummyfunction("COUNTIF(FILTER('Переформатированный ответ'!$J$2:$J$179,('Переформатированный ответ'!$M$2:$M$179 &gt;-1)), A26)"),4)</f>
        <v>4</v>
      </c>
      <c r="C26" s="1"/>
    </row>
    <row r="27" customFormat="false" ht="15.75" hidden="false" customHeight="false" outlineLevel="0" collapsed="false">
      <c r="B27" s="0" t="n">
        <f aca="false">SUM(B15:B25)</f>
        <v>149</v>
      </c>
    </row>
  </sheetData>
  <mergeCells count="1">
    <mergeCell ref="F6:F9"/>
  </mergeCells>
  <conditionalFormatting sqref="D2:D25">
    <cfRule type="cellIs" priority="2" operator="equal" aboveAverage="0" equalAverage="0" bottom="0" percent="0" rank="0" text="" dxfId="0">
      <formula>"Все норм"</formula>
    </cfRule>
  </conditionalFormatting>
  <conditionalFormatting sqref="D2:D25">
    <cfRule type="cellIs" priority="3" operator="equal" aboveAverage="0" equalAverage="0" bottom="0" percent="0" rank="0" text="" dxfId="1">
      <formula>"Писос!"</formula>
    </cfRule>
  </conditionalFormatting>
  <conditionalFormatting sqref="D2:D11 D15:D25">
    <cfRule type="cellIs" priority="4" operator="equal" aboveAverage="0" equalAverage="0" bottom="0" percent="0" rank="0" text="" dxfId="2">
      <formula>"Почти писос!"</formula>
    </cfRule>
  </conditionalFormatting>
  <conditionalFormatting sqref="F16">
    <cfRule type="cellIs" priority="5" operator="equal" aboveAverage="0" equalAverage="0" bottom="0" percent="0" rank="0" text="" dxfId="0">
      <formula>"Обновлена"</formula>
    </cfRule>
  </conditionalFormatting>
  <conditionalFormatting sqref="F16">
    <cfRule type="cellIs" priority="6" operator="equal" aboveAverage="0" equalAverage="0" bottom="0" percent="0" rank="0" text="" dxfId="1">
      <formula>"Не обновлена"</formula>
    </cfRule>
  </conditionalFormatting>
  <hyperlinks>
    <hyperlink ref="N4" r:id="rId1" display="http://vk.com/yanafrank"/>
    <hyperlink ref="N5" r:id="rId2" display="http://vk.com/alinasavchenko0"/>
    <hyperlink ref="N6" r:id="rId3" display="http://vk.com/avstralo_pitek"/>
    <hyperlink ref="N7" r:id="rId4" display="http://vk.com/id200827263"/>
    <hyperlink ref="N8" r:id="rId5" display="http://vk.com/scumlife69"/>
    <hyperlink ref="L22" r:id="rId6" display="http://vk.com/lolpo200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4" min="4" style="0" width="20.3"/>
  </cols>
  <sheetData>
    <row r="1" customFormat="false" ht="15.75" hidden="false" customHeight="false" outlineLevel="0" collapsed="false">
      <c r="A1" s="27" t="n">
        <v>6</v>
      </c>
      <c r="B1" s="27" t="n">
        <f aca="false">COUNTIF('Переформатированный ответ'!$D$2:$D$172,A1)</f>
        <v>0</v>
      </c>
      <c r="H1" s="0" t="n">
        <f aca="false">IFERROR(__xludf.dummyfunction("FILTER(ARRAYFORMULA(IF(COUNTIF('Переформатированный ответ'!$E$2:$E$187,UNIQUE('Переформатированный ответ'!$E$2:$E$187))&gt;2,UNIQUE('Переформатированный ответ'!$E$2:$E$187),"""")),LEN(ARRAYFORMULA(IF(COUNTIF('Переформатированный ответ'!$E$2:$E$187,UNIQUE('Пе"&amp;"реформатированный ответ'!$E$2:$E$187))&gt;2,UNIQUE('Переформатированный ответ'!$E$2:$E$187),""""))))"),117)</f>
        <v>117</v>
      </c>
      <c r="I1" s="27" t="e">
        <f aca="false" t="array" ref="I1:I1">IF(LEN(H1),COUNTA(IFERROR(SEARCH(H1,'Переформатированный ответ'!$E$2:$E$187))),"")</f>
        <v>#VALUE!</v>
      </c>
    </row>
    <row r="2" customFormat="false" ht="15.75" hidden="false" customHeight="false" outlineLevel="0" collapsed="false">
      <c r="A2" s="27" t="n">
        <v>7</v>
      </c>
      <c r="B2" s="27" t="n">
        <f aca="false">COUNTIF('Переформатированный ответ'!$D$2:$D$172,A2)</f>
        <v>3</v>
      </c>
      <c r="H2" s="0" t="n">
        <f aca="false">IFERROR(__xludf.dummyfunction("""COMPUTED_VALUE"""),149)</f>
        <v>149</v>
      </c>
      <c r="I2" s="27" t="e">
        <f aca="false" t="array" ref="I2:I2">IF(LEN(H2),COUNTA(IFERROR(SEARCH(H2,'Переформатированный ответ'!$E$2:$E$187))),"")</f>
        <v>#VALUE!</v>
      </c>
    </row>
    <row r="3" customFormat="false" ht="15.75" hidden="false" customHeight="false" outlineLevel="0" collapsed="false">
      <c r="A3" s="27" t="n">
        <v>8</v>
      </c>
      <c r="B3" s="27" t="n">
        <f aca="false">COUNTIF('Переформатированный ответ'!$D$2:$D$172,A3)</f>
        <v>2</v>
      </c>
      <c r="H3" s="0" t="n">
        <f aca="false">IFERROR(__xludf.dummyfunction("""COMPUTED_VALUE"""),64)</f>
        <v>64</v>
      </c>
      <c r="I3" s="27" t="e">
        <f aca="false" t="array" ref="I3:I3">IF(LEN(H3),COUNTA(IFERROR(SEARCH(H3,'Переформатированный ответ'!$E$2:$E$187))),"")</f>
        <v>#VALUE!</v>
      </c>
    </row>
    <row r="4" customFormat="false" ht="15.75" hidden="false" customHeight="false" outlineLevel="0" collapsed="false">
      <c r="A4" s="27" t="n">
        <v>9</v>
      </c>
      <c r="B4" s="27" t="n">
        <f aca="false">COUNTIF('Переформатированный ответ'!$D$2:$D$172,A4)</f>
        <v>10</v>
      </c>
      <c r="H4" s="0" t="n">
        <f aca="false">IFERROR(__xludf.dummyfunction("""COMPUTED_VALUE"""),66)</f>
        <v>66</v>
      </c>
      <c r="I4" s="27" t="e">
        <f aca="false" t="array" ref="I4:I4">IF(LEN(H4),COUNTA(IFERROR(SEARCH(H4,'Переформатированный ответ'!$E$2:$E$187))),"")</f>
        <v>#VALUE!</v>
      </c>
    </row>
    <row r="5" customFormat="false" ht="15.75" hidden="false" customHeight="false" outlineLevel="0" collapsed="false">
      <c r="A5" s="27" t="n">
        <v>10</v>
      </c>
      <c r="B5" s="27" t="n">
        <f aca="false">COUNTIF('Переформатированный ответ'!$D$2:$D$172,A5)</f>
        <v>5</v>
      </c>
      <c r="H5" s="0" t="n">
        <f aca="false">IFERROR(__xludf.dummyfunction("""COMPUTED_VALUE"""),19)</f>
        <v>19</v>
      </c>
      <c r="I5" s="27" t="e">
        <f aca="false" t="array" ref="I5:I5">IF(LEN(H5),COUNTA(IFERROR(SEARCH(H5,'Переформатированный ответ'!$E$2:$E$187))),"")</f>
        <v>#VALUE!</v>
      </c>
    </row>
    <row r="6" customFormat="false" ht="15.75" hidden="false" customHeight="false" outlineLevel="0" collapsed="false">
      <c r="A6" s="27" t="n">
        <v>11</v>
      </c>
      <c r="B6" s="27" t="n">
        <f aca="false">COUNTIF('Переформатированный ответ'!$D$2:$D$172,A6)</f>
        <v>0</v>
      </c>
      <c r="H6" s="0" t="n">
        <f aca="false">IFERROR(__xludf.dummyfunction("""COMPUTED_VALUE"""),139)</f>
        <v>139</v>
      </c>
      <c r="I6" s="27" t="e">
        <f aca="false" t="array" ref="I6:I6">IF(LEN(H6),COUNTA(IFERROR(SEARCH(H6,'Переформатированный ответ'!$E$2:$E$187))),"")</f>
        <v>#VALUE!</v>
      </c>
    </row>
    <row r="7" customFormat="false" ht="15.75" hidden="false" customHeight="false" outlineLevel="0" collapsed="false">
      <c r="H7" s="0" t="n">
        <f aca="false">IFERROR(__xludf.dummyfunction("""COMPUTED_VALUE"""),166)</f>
        <v>166</v>
      </c>
      <c r="I7" s="27" t="e">
        <f aca="false" t="array" ref="I7:I7">IF(LEN(H7),COUNTA(IFERROR(SEARCH(H7,'Переформатированный ответ'!$E$2:$E$187))),"")</f>
        <v>#VALUE!</v>
      </c>
    </row>
    <row r="8" customFormat="false" ht="15.75" hidden="false" customHeight="false" outlineLevel="0" collapsed="false">
      <c r="H8" s="0" t="n">
        <f aca="false">IFERROR(__xludf.dummyfunction("""COMPUTED_VALUE"""),115)</f>
        <v>115</v>
      </c>
      <c r="I8" s="27" t="e">
        <f aca="false" t="array" ref="I8:I8">IF(LEN(H8),COUNTA(IFERROR(SEARCH(H8,'Переформатированный ответ'!$E$2:$E$187))),"")</f>
        <v>#VALUE!</v>
      </c>
    </row>
    <row r="9" customFormat="false" ht="15.75" hidden="false" customHeight="false" outlineLevel="0" collapsed="false">
      <c r="I9" s="27" t="str">
        <f aca="false" t="array" ref="I9:I9">IF(LEN(H9),COUNTA(IFERROR(SEARCH(H9,'Переформатированный ответ'!$E$169:$E$187))),"")</f>
        <v/>
      </c>
    </row>
    <row r="10" customFormat="false" ht="15.75" hidden="false" customHeight="false" outlineLevel="0" collapsed="false">
      <c r="I10" s="27" t="str">
        <f aca="false" t="array" ref="I10:I10">IF(LEN(H10),COUNTA(IFERROR(SEARCH(H10,'Переформатированный ответ'!$E$169:$E$187))),"")</f>
        <v/>
      </c>
    </row>
    <row r="11" customFormat="false" ht="15.75" hidden="false" customHeight="false" outlineLevel="0" collapsed="false">
      <c r="I11" s="27" t="str">
        <f aca="false" t="array" ref="I11:I11">IF(LEN(H11),COUNTA(IFERROR(SEARCH(H11,'Переформатированный ответ'!$E$169:$E$187))),"")</f>
        <v/>
      </c>
    </row>
    <row r="12" customFormat="false" ht="15.75" hidden="false" customHeight="false" outlineLevel="0" collapsed="false">
      <c r="I12" s="27" t="str">
        <f aca="false" t="array" ref="I12:I12">IF(LEN(H12),COUNTA(IFERROR(SEARCH(H12,'Переформатированный ответ'!$E$169:$E$187))),"")</f>
        <v/>
      </c>
    </row>
    <row r="13" customFormat="false" ht="15.75" hidden="false" customHeight="false" outlineLevel="0" collapsed="false">
      <c r="I13" s="27" t="str">
        <f aca="false" t="array" ref="I13:I13">IF(LEN(H13),COUNTA(IFERROR(SEARCH(H13,'Переформатированный ответ'!$E$169:$E$187))),"")</f>
        <v/>
      </c>
    </row>
    <row r="14" customFormat="false" ht="15.75" hidden="false" customHeight="false" outlineLevel="0" collapsed="false">
      <c r="A14" s="28" t="n">
        <f aca="true">TODAY()</f>
        <v>44431</v>
      </c>
      <c r="I14" s="27" t="str">
        <f aca="false" t="array" ref="I14:I14">IF(LEN(H14),COUNTA(IFERROR(SEARCH(H14,'Переформатированный ответ'!$E$169:$E$187))),"")</f>
        <v/>
      </c>
    </row>
    <row r="15" customFormat="false" ht="15.75" hidden="false" customHeight="false" outlineLevel="0" collapsed="false">
      <c r="A15" s="1" t="s">
        <v>748</v>
      </c>
      <c r="B15" s="1" t="s">
        <v>749</v>
      </c>
      <c r="C15" s="1" t="s">
        <v>750</v>
      </c>
      <c r="H15" s="29" t="s">
        <v>751</v>
      </c>
      <c r="I15" s="0" t="n">
        <f aca="false">COUNTA('Переформатированный ответ'!$E$169:$E$187)-SUM(I1:I14)</f>
        <v>-135</v>
      </c>
    </row>
    <row r="16" customFormat="false" ht="15.75" hidden="false" customHeight="false" outlineLevel="0" collapsed="false">
      <c r="A16" s="30" t="n">
        <v>43218</v>
      </c>
      <c r="B16" s="1" t="n">
        <v>0</v>
      </c>
      <c r="C16" s="1" t="n">
        <v>0</v>
      </c>
      <c r="J16" s="1" t="s">
        <v>752</v>
      </c>
      <c r="K16" s="0" t="n">
        <f aca="false">COUNTIF('Переформатированный ответ'!$K$2:$K$172,"Да")</f>
        <v>50</v>
      </c>
      <c r="M16" s="1"/>
    </row>
    <row r="17" customFormat="false" ht="15.75" hidden="false" customHeight="false" outlineLevel="0" collapsed="false">
      <c r="A17" s="30" t="n">
        <v>43219</v>
      </c>
      <c r="B17" s="27" t="n">
        <f aca="true" t="array" ref="B17:B17">IF(TODAY() &gt;= A17,COUNTIF(DATE(2018,MONTH('Переформатированный ответ'!$A$2:$A$172),DAY('Переформатированный ответ'!$A$2:$A$172)),A17),"")</f>
        <v>166</v>
      </c>
      <c r="C17" s="0" t="n">
        <f aca="true">IF(TODAY() &gt;= A17,B17+C16,"")</f>
        <v>166</v>
      </c>
      <c r="J17" s="1" t="s">
        <v>753</v>
      </c>
      <c r="K17" s="0" t="n">
        <f aca="false">COUNTIF('Переформатированный ответ'!$K$2:$K$172,"Нет")</f>
        <v>121</v>
      </c>
      <c r="M17" s="1"/>
    </row>
    <row r="18" customFormat="false" ht="15.75" hidden="false" customHeight="false" outlineLevel="0" collapsed="false">
      <c r="A18" s="30" t="n">
        <v>43220</v>
      </c>
      <c r="B18" s="27" t="n">
        <f aca="true" t="array" ref="B18:B18">IF(TODAY() &gt;= A18,COUNTIF(DATE(2018,MONTH('Переформатированный ответ'!$A$2:$A$172),DAY('Переформатированный ответ'!$A$2:$A$172)),A18),"")</f>
        <v>166</v>
      </c>
      <c r="C18" s="0" t="n">
        <f aca="true">IF(TODAY() &gt;= A18,B18+C17,"")</f>
        <v>332</v>
      </c>
    </row>
    <row r="19" customFormat="false" ht="15.75" hidden="false" customHeight="false" outlineLevel="0" collapsed="false">
      <c r="A19" s="30" t="n">
        <v>43221</v>
      </c>
      <c r="B19" s="27" t="n">
        <f aca="true" t="array" ref="B19:B19">IF(TODAY() &gt;= A19,COUNTIF(DATE(2018,MONTH('Переформатированный ответ'!$A$2:$A$172),DAY('Переформатированный ответ'!$A$2:$A$172)),A19),"")</f>
        <v>166</v>
      </c>
      <c r="C19" s="0" t="n">
        <f aca="true">IF(TODAY() &gt;= A19,B19+C18,"")</f>
        <v>498</v>
      </c>
    </row>
    <row r="20" customFormat="false" ht="15.75" hidden="false" customHeight="false" outlineLevel="0" collapsed="false">
      <c r="A20" s="30" t="n">
        <v>43222</v>
      </c>
      <c r="B20" s="27" t="n">
        <f aca="true" t="array" ref="B20:B20">IF(TODAY() &gt;= A20,COUNTIF(DATE(2018,MONTH('Переформатированный ответ'!$A$2:$A$172),DAY('Переформатированный ответ'!$A$2:$A$172)),A20),"")</f>
        <v>166</v>
      </c>
      <c r="C20" s="0" t="n">
        <f aca="true">IF(TODAY() &gt;= A20,B20+C19,"")</f>
        <v>664</v>
      </c>
    </row>
    <row r="21" customFormat="false" ht="15.75" hidden="false" customHeight="false" outlineLevel="0" collapsed="false">
      <c r="A21" s="30" t="n">
        <v>43223</v>
      </c>
      <c r="B21" s="27" t="n">
        <f aca="true" t="array" ref="B21:B21">IF(TODAY() &gt;= A21,COUNTIF(DATE(2018,MONTH('Переформатированный ответ'!$A$2:$A$172),DAY('Переформатированный ответ'!$A$2:$A$172)),A21),"")</f>
        <v>166</v>
      </c>
      <c r="C21" s="0" t="n">
        <f aca="true">IF(TODAY() &gt;= A21,B21+C20,"")</f>
        <v>830</v>
      </c>
    </row>
    <row r="22" customFormat="false" ht="15.75" hidden="false" customHeight="false" outlineLevel="0" collapsed="false">
      <c r="A22" s="30" t="n">
        <v>43224</v>
      </c>
      <c r="B22" s="27" t="n">
        <f aca="true" t="array" ref="B22:B22">IF(TODAY() &gt;= A22,COUNTIF(DATE(2018,MONTH('Переформатированный ответ'!$A$2:$A$172),DAY('Переформатированный ответ'!$A$2:$A$172)),A22),"")</f>
        <v>166</v>
      </c>
      <c r="C22" s="0" t="n">
        <f aca="true">IF(TODAY() &gt;= A22,B22+C21,"")</f>
        <v>996</v>
      </c>
    </row>
    <row r="23" customFormat="false" ht="15.75" hidden="false" customHeight="false" outlineLevel="0" collapsed="false">
      <c r="A23" s="30" t="n">
        <v>43225</v>
      </c>
      <c r="B23" s="27" t="n">
        <f aca="true" t="array" ref="B23:B23">IF(TODAY() &gt;= A23,COUNTIF(DATE(2018,MONTH('Переформатированный ответ'!$A$2:$A$172),DAY('Переформатированный ответ'!$A$2:$A$172)),A23),"")</f>
        <v>166</v>
      </c>
      <c r="C23" s="0" t="n">
        <f aca="true">IF(TODAY() &gt;= A23,B23+C22,"")</f>
        <v>1162</v>
      </c>
    </row>
    <row r="24" customFormat="false" ht="15.75" hidden="false" customHeight="false" outlineLevel="0" collapsed="false">
      <c r="A24" s="30" t="n">
        <v>43226</v>
      </c>
      <c r="B24" s="27" t="n">
        <f aca="true" t="array" ref="B24:B24">IF(TODAY() &gt;= A24,COUNTIF(DATE(2018,MONTH('Переформатированный ответ'!$A$2:$A$172),DAY('Переформатированный ответ'!$A$2:$A$172)),A24),"")</f>
        <v>166</v>
      </c>
      <c r="C24" s="0" t="n">
        <f aca="true">IF(TODAY() &gt;= A24,B24+C23,"")</f>
        <v>1328</v>
      </c>
    </row>
    <row r="25" customFormat="false" ht="15.75" hidden="false" customHeight="false" outlineLevel="0" collapsed="false">
      <c r="A25" s="30" t="n">
        <v>43227</v>
      </c>
      <c r="B25" s="27" t="n">
        <f aca="true" t="array" ref="B25:B25">IF(TODAY() &gt;= A25,COUNTIF(DATE(2018,MONTH('Переформатированный ответ'!$A$2:$A$172),DAY('Переформатированный ответ'!$A$2:$A$172)),A25),"")</f>
        <v>166</v>
      </c>
      <c r="C25" s="0" t="n">
        <f aca="true">IF(TODAY() &gt;= A25,B25+C24,"")</f>
        <v>1494</v>
      </c>
    </row>
    <row r="26" customFormat="false" ht="15.75" hidden="false" customHeight="false" outlineLevel="0" collapsed="false">
      <c r="A26" s="30" t="n">
        <v>43228</v>
      </c>
      <c r="B26" s="27" t="n">
        <f aca="true" t="array" ref="B26:B26">IF(TODAY() &gt;= A26,COUNTIF(DATE(2018,MONTH('Переформатированный ответ'!$A$2:$A$172),DAY('Переформатированный ответ'!$A$2:$A$172)),A26),"")</f>
        <v>166</v>
      </c>
      <c r="C26" s="0" t="n">
        <f aca="true">IF(TODAY() &gt;= A26,B26+C25,"")</f>
        <v>1660</v>
      </c>
    </row>
    <row r="27" customFormat="false" ht="15.75" hidden="false" customHeight="false" outlineLevel="0" collapsed="false">
      <c r="A27" s="30" t="n">
        <v>43229</v>
      </c>
      <c r="B27" s="27" t="n">
        <f aca="true" t="array" ref="B27:B27">IF(TODAY() &gt;= A27,COUNTIF(DATE(2018,MONTH('Переформатированный ответ'!$A$2:$A$172),DAY('Переформатированный ответ'!$A$2:$A$172)),A27),"")</f>
        <v>166</v>
      </c>
      <c r="C27" s="0" t="n">
        <f aca="true">IF(TODAY() &gt;= A27,B27+C26,"")</f>
        <v>1826</v>
      </c>
    </row>
    <row r="28" customFormat="false" ht="15.75" hidden="false" customHeight="false" outlineLevel="0" collapsed="false">
      <c r="A28" s="30" t="n">
        <v>43230</v>
      </c>
      <c r="B28" s="27" t="n">
        <f aca="true" t="array" ref="B28:B28">IF(TODAY() &gt;= A28,COUNTIF(DATE(2018,MONTH('Переформатированный ответ'!$A$2:$A$172),DAY('Переформатированный ответ'!$A$2:$A$172)),A28),"")</f>
        <v>166</v>
      </c>
      <c r="C28" s="0" t="n">
        <f aca="true">IF(TODAY() &gt;= A28,B28+C27,"")</f>
        <v>1992</v>
      </c>
    </row>
    <row r="29" customFormat="false" ht="15.75" hidden="false" customHeight="false" outlineLevel="0" collapsed="false">
      <c r="A29" s="30" t="n">
        <v>43231</v>
      </c>
      <c r="B29" s="27" t="n">
        <f aca="true" t="array" ref="B29:B29">IF(TODAY() &gt;= A29,COUNTIF(DATE(2018,MONTH('Переформатированный ответ'!$A$2:$A$172),DAY('Переформатированный ответ'!$A$2:$A$172)),A29),"")</f>
        <v>166</v>
      </c>
      <c r="C29" s="0" t="n">
        <f aca="true">IF(TODAY() &gt;= A29,B29+C28,"")</f>
        <v>2158</v>
      </c>
    </row>
    <row r="30" customFormat="false" ht="15.75" hidden="false" customHeight="false" outlineLevel="0" collapsed="false">
      <c r="A30" s="30" t="n">
        <v>43232</v>
      </c>
      <c r="B30" s="27" t="n">
        <f aca="true" t="array" ref="B30:B30">IF(TODAY() &gt;= A30,COUNTIF(DATE(2018,MONTH('Переформатированный ответ'!$A$2:$A$172),DAY('Переформатированный ответ'!$A$2:$A$172)),A30),"")</f>
        <v>166</v>
      </c>
      <c r="C30" s="0" t="n">
        <f aca="true">IF(TODAY() &gt;= A30,B30+C29,"")</f>
        <v>2324</v>
      </c>
    </row>
    <row r="31" customFormat="false" ht="15.75" hidden="false" customHeight="false" outlineLevel="0" collapsed="false">
      <c r="A31" s="30" t="n">
        <v>43233</v>
      </c>
      <c r="B31" s="27" t="n">
        <f aca="true" t="array" ref="B31:B31">IF(TODAY() &gt;= A31,COUNTIF(DATE(2018,MONTH('Переформатированный ответ'!$A$2:$A$172),DAY('Переформатированный ответ'!$A$2:$A$172)),A31),"")</f>
        <v>166</v>
      </c>
      <c r="C31" s="0" t="n">
        <f aca="true">IF(TODAY() &gt;= A31,B31+C30,"")</f>
        <v>2490</v>
      </c>
    </row>
    <row r="32" customFormat="false" ht="15.75" hidden="false" customHeight="false" outlineLevel="0" collapsed="false">
      <c r="A32" s="30" t="n">
        <v>43234</v>
      </c>
      <c r="B32" s="27" t="n">
        <f aca="true" t="array" ref="B32:B32">IF(TODAY() &gt;= A32,COUNTIF(DATE(2018,MONTH('Переформатированный ответ'!$A$2:$A$172),DAY('Переформатированный ответ'!$A$2:$A$172)),A32),"")</f>
        <v>166</v>
      </c>
      <c r="C32" s="0" t="n">
        <f aca="true">IF(TODAY() &gt;= A32,B32+C31,"")</f>
        <v>2656</v>
      </c>
    </row>
    <row r="33" customFormat="false" ht="15.75" hidden="false" customHeight="false" outlineLevel="0" collapsed="false">
      <c r="A33" s="30" t="n">
        <v>43235</v>
      </c>
      <c r="B33" s="27" t="n">
        <f aca="true" t="array" ref="B33:B33">IF(TODAY() &gt;= A33,COUNTIF(DATE(2018,MONTH('Переформатированный ответ'!$A$2:$A$172),DAY('Переформатированный ответ'!$A$2:$A$172)),A33),"")</f>
        <v>166</v>
      </c>
      <c r="C33" s="0" t="n">
        <f aca="true">IF(TODAY() &gt;= A33,B33+C32,"")</f>
        <v>2822</v>
      </c>
    </row>
    <row r="34" customFormat="false" ht="15.75" hidden="false" customHeight="false" outlineLevel="0" collapsed="false">
      <c r="A34" s="30" t="n">
        <v>43236</v>
      </c>
      <c r="B34" s="27" t="n">
        <f aca="true" t="array" ref="B34:B34">IF(TODAY() &gt;= A34,COUNTIF(DATE(2018,MONTH('Переформатированный ответ'!$A$2:$A$172),DAY('Переформатированный ответ'!$A$2:$A$172)),A34),"")</f>
        <v>166</v>
      </c>
      <c r="C34" s="0" t="n">
        <f aca="true">IF(TODAY() &gt;= A34,B34+C33,"")</f>
        <v>2988</v>
      </c>
      <c r="F34" s="0" t="n">
        <f aca="false">SUM(F35:F38)</f>
        <v>171</v>
      </c>
    </row>
    <row r="35" customFormat="false" ht="15.75" hidden="false" customHeight="false" outlineLevel="0" collapsed="false">
      <c r="A35" s="30" t="n">
        <v>43237</v>
      </c>
      <c r="B35" s="27" t="n">
        <f aca="true" t="array" ref="B35:B35">IF(TODAY() &gt;= A35,COUNTIF(DATE(2018,MONTH('Переформатированный ответ'!$A$2:$A$172),DAY('Переформатированный ответ'!$A$2:$A$172)),A35),"")</f>
        <v>166</v>
      </c>
      <c r="C35" s="0" t="n">
        <f aca="true">IF(TODAY() &gt;= A35,B35+C34,"")</f>
        <v>3154</v>
      </c>
      <c r="D35" s="1" t="s">
        <v>754</v>
      </c>
      <c r="E35" s="1" t="n">
        <v>-1</v>
      </c>
      <c r="F35" s="27" t="n">
        <f aca="false">IFERROR(__xludf.dummyfunction("counta(filter('Переформатированный ответ'!$M$2:$M$187,'Переформатированный ответ'!$M$2:$M$187 = E35))"),16)</f>
        <v>16</v>
      </c>
    </row>
    <row r="36" customFormat="false" ht="15.75" hidden="false" customHeight="false" outlineLevel="0" collapsed="false">
      <c r="A36" s="30" t="n">
        <v>43238</v>
      </c>
      <c r="B36" s="27" t="n">
        <f aca="true" t="array" ref="B36:B36">IF(TODAY() &gt;= A36,COUNTIF(DATE(2018,MONTH('Переформатированный ответ'!$A$2:$A$172),DAY('Переформатированный ответ'!$A$2:$A$172)),A36),"")</f>
        <v>166</v>
      </c>
      <c r="C36" s="0" t="n">
        <f aca="true">IF(TODAY() &gt;= A36,B36+C35,"")</f>
        <v>3320</v>
      </c>
      <c r="D36" s="1" t="s">
        <v>755</v>
      </c>
      <c r="E36" s="1" t="n">
        <v>0</v>
      </c>
      <c r="F36" s="27" t="n">
        <f aca="false">IFERROR(__xludf.dummyfunction("counta(filter('Переформатированный ответ'!$M$2:$M$187,'Переформатированный ответ'!$M$2:$M$187 = E36))"),0)</f>
        <v>0</v>
      </c>
    </row>
    <row r="37" customFormat="false" ht="15.75" hidden="false" customHeight="false" outlineLevel="0" collapsed="false">
      <c r="A37" s="30" t="n">
        <v>43239</v>
      </c>
      <c r="B37" s="27" t="n">
        <f aca="true" t="array" ref="B37:B37">IF(TODAY() &gt;= A37,COUNTIF(DATE(2018,MONTH('Переформатированный ответ'!$A$2:$A$172),DAY('Переформатированный ответ'!$A$2:$A$172)),A37),"")</f>
        <v>166</v>
      </c>
      <c r="C37" s="0" t="n">
        <f aca="true">IF(TODAY() &gt;= A37,B37+C36,"")</f>
        <v>3486</v>
      </c>
      <c r="D37" s="1" t="s">
        <v>756</v>
      </c>
      <c r="E37" s="1" t="n">
        <v>1</v>
      </c>
      <c r="F37" s="27" t="n">
        <f aca="false">IFERROR(__xludf.dummyfunction("counta(filter('Переформатированный ответ'!$M$2:$M$187,'Переформатированный ответ'!$M$2:$M$187 = E37))"),8)</f>
        <v>8</v>
      </c>
    </row>
    <row r="38" customFormat="false" ht="15.75" hidden="false" customHeight="false" outlineLevel="0" collapsed="false">
      <c r="A38" s="30" t="n">
        <v>43240</v>
      </c>
      <c r="B38" s="27" t="n">
        <f aca="true" t="array" ref="B38:B38">IF(TODAY() &gt;= A38,COUNTIF(DATE(2018,MONTH('Переформатированный ответ'!$A$2:$A$172),DAY('Переформатированный ответ'!$A$2:$A$172)),A38),"")</f>
        <v>166</v>
      </c>
      <c r="C38" s="0" t="n">
        <f aca="true">IF(TODAY() &gt;= A38,B38+C37,"")</f>
        <v>3652</v>
      </c>
      <c r="D38" s="1" t="s">
        <v>757</v>
      </c>
      <c r="E38" s="1" t="n">
        <v>2</v>
      </c>
      <c r="F38" s="27" t="n">
        <f aca="false">IFERROR(__xludf.dummyfunction("counta(filter('Переформатированный ответ'!$M$2:$M$187,'Переформатированный ответ'!$M$2:$M$187 = E38))"),147)</f>
        <v>147</v>
      </c>
    </row>
    <row r="39" customFormat="false" ht="15.75" hidden="false" customHeight="false" outlineLevel="0" collapsed="false">
      <c r="A39" s="30" t="n">
        <v>43241</v>
      </c>
      <c r="B39" s="27" t="n">
        <f aca="true" t="array" ref="B39:B39">IF(TODAY() &gt;= A39,COUNTIF(DATE(2018,MONTH('Переформатированный ответ'!$A$2:$A$172),DAY('Переформатированный ответ'!$A$2:$A$172)),A39),"")</f>
        <v>166</v>
      </c>
      <c r="C39" s="0" t="n">
        <f aca="true">IF(TODAY() &gt;= A39,B39+C38,"")</f>
        <v>3818</v>
      </c>
      <c r="F39" s="27"/>
    </row>
    <row r="40" customFormat="false" ht="15.75" hidden="false" customHeight="false" outlineLevel="0" collapsed="false">
      <c r="A40" s="30" t="n">
        <v>43242</v>
      </c>
      <c r="B40" s="27" t="n">
        <f aca="true" t="array" ref="B40:B40">IF(TODAY() &gt;= A40,COUNTIF(DATE(2018,MONTH('Переформатированный ответ'!$A$2:$A$172),DAY('Переформатированный ответ'!$A$2:$A$172)),A40),"")</f>
        <v>166</v>
      </c>
      <c r="C40" s="0" t="n">
        <f aca="true">IF(TODAY() &gt;= A40,B40+C39,"")</f>
        <v>3984</v>
      </c>
    </row>
    <row r="41" customFormat="false" ht="15.75" hidden="false" customHeight="false" outlineLevel="0" collapsed="false">
      <c r="A41" s="30" t="n">
        <v>43243</v>
      </c>
      <c r="B41" s="27" t="n">
        <f aca="true" t="array" ref="B41:B41">IF(TODAY() &gt;= A41,COUNTIF(DATE(2018,MONTH('Переформатированный ответ'!$A$2:$A$172),DAY('Переформатированный ответ'!$A$2:$A$172)),A41),"")</f>
        <v>166</v>
      </c>
      <c r="C41" s="0" t="n">
        <f aca="true">IF(TODAY() &gt;= A41,B41+C40,"")</f>
        <v>4150</v>
      </c>
    </row>
    <row r="42" customFormat="false" ht="15.75" hidden="false" customHeight="false" outlineLevel="0" collapsed="false">
      <c r="A42" s="30" t="n">
        <v>43244</v>
      </c>
      <c r="B42" s="27" t="n">
        <f aca="true" t="array" ref="B42:B42">IF(TODAY() &gt;= A42,COUNTIF(DATE(2018,MONTH('Переформатированный ответ'!$A$2:$A$172),DAY('Переформатированный ответ'!$A$2:$A$172)),A42),"")</f>
        <v>166</v>
      </c>
      <c r="C42" s="0" t="n">
        <f aca="true">IF(TODAY() &gt;= A42,B42+C41,"")</f>
        <v>4316</v>
      </c>
    </row>
    <row r="43" customFormat="false" ht="15.75" hidden="false" customHeight="false" outlineLevel="0" collapsed="false">
      <c r="A43" s="30" t="n">
        <v>43245</v>
      </c>
      <c r="B43" s="27" t="n">
        <f aca="true" t="array" ref="B43:B43">IF(TODAY() &gt;= A43,COUNTIF(DATE(2018,MONTH('Переформатированный ответ'!$A$2:$A$172),DAY('Переформатированный ответ'!$A$2:$A$172)),A43),"")</f>
        <v>166</v>
      </c>
      <c r="C43" s="0" t="n">
        <f aca="true">IF(TODAY() &gt;= A43,B43+C42,"")</f>
        <v>4482</v>
      </c>
    </row>
    <row r="44" customFormat="false" ht="15.75" hidden="false" customHeight="false" outlineLevel="0" collapsed="false">
      <c r="A44" s="30" t="n">
        <v>43246</v>
      </c>
      <c r="B44" s="27" t="n">
        <f aca="true" t="array" ref="B44:B44">IF(TODAY() &gt;= A44,COUNTIF(DATE(2018,MONTH('Переформатированный ответ'!$A$2:$A$172),DAY('Переформатированный ответ'!$A$2:$A$172)),A44),"")</f>
        <v>166</v>
      </c>
      <c r="C44" s="0" t="n">
        <f aca="true">IF(TODAY() &gt;= A44,B44+C43,"")</f>
        <v>4648</v>
      </c>
    </row>
    <row r="45" customFormat="false" ht="15.75" hidden="false" customHeight="false" outlineLevel="0" collapsed="false">
      <c r="A45" s="30" t="n">
        <v>43247</v>
      </c>
      <c r="B45" s="27" t="n">
        <f aca="true" t="array" ref="B45:B45">IF(TODAY() &gt;= A45,COUNTIF(DATE(2018,MONTH('Переформатированный ответ'!$A$2:$A$172),DAY('Переформатированный ответ'!$A$2:$A$172)),A45),"")</f>
        <v>166</v>
      </c>
      <c r="C45" s="0" t="n">
        <f aca="true">IF(TODAY() &gt;= A45,B45+C44,"")</f>
        <v>4814</v>
      </c>
    </row>
    <row r="46" customFormat="false" ht="15.75" hidden="false" customHeight="false" outlineLevel="0" collapsed="false">
      <c r="A46" s="30" t="n">
        <v>43248</v>
      </c>
      <c r="B46" s="27" t="n">
        <f aca="true" t="array" ref="B46:B46">IF(TODAY() &gt;= A46,COUNTIF(DATE(2018,MONTH('Переформатированный ответ'!$A$2:$A$172),DAY('Переформатированный ответ'!$A$2:$A$172)),A46),"")</f>
        <v>166</v>
      </c>
      <c r="C46" s="0" t="n">
        <f aca="true">IF(TODAY() &gt;= A46,B46+C45,"")</f>
        <v>4980</v>
      </c>
    </row>
    <row r="47" customFormat="false" ht="15.75" hidden="false" customHeight="false" outlineLevel="0" collapsed="false">
      <c r="A47" s="30" t="n">
        <v>43249</v>
      </c>
      <c r="B47" s="27" t="n">
        <f aca="true" t="array" ref="B47:B47">IF(TODAY() &gt;= A47,COUNTIF(DATE(2018,MONTH('Переформатированный ответ'!$A$2:$A$172),DAY('Переформатированный ответ'!$A$2:$A$172)),A47),"")</f>
        <v>166</v>
      </c>
      <c r="C47" s="0" t="n">
        <f aca="true">IF(TODAY() &gt;= A47,B47+C46,"")</f>
        <v>5146</v>
      </c>
    </row>
    <row r="48" customFormat="false" ht="15.75" hidden="false" customHeight="false" outlineLevel="0" collapsed="false">
      <c r="A48" s="30" t="n">
        <v>43250</v>
      </c>
      <c r="B48" s="27" t="n">
        <f aca="true" t="array" ref="B48:B48">IF(TODAY() &gt;= A48,COUNTIF(DATE(2018,MONTH('Переформатированный ответ'!$A$2:$A$172),DAY('Переформатированный ответ'!$A$2:$A$172)),A48),"")</f>
        <v>166</v>
      </c>
      <c r="C48" s="0" t="n">
        <f aca="true">IF(TODAY() &gt;= A48,B48+C47,"")</f>
        <v>5312</v>
      </c>
    </row>
    <row r="49" customFormat="false" ht="15.75" hidden="false" customHeight="false" outlineLevel="0" collapsed="false">
      <c r="A49" s="30" t="n">
        <v>43251</v>
      </c>
      <c r="B49" s="27" t="n">
        <f aca="true" t="array" ref="B49:B49">IF(TODAY() &gt;= A49,COUNTIF(DATE(2018,MONTH('Переформатированный ответ'!$A$2:$A$172),DAY('Переформатированный ответ'!$A$2:$A$172)),A49),"")</f>
        <v>166</v>
      </c>
      <c r="C49" s="0" t="n">
        <f aca="true">IF(TODAY() &gt;= A49,B49+C48,"")</f>
        <v>5478</v>
      </c>
    </row>
    <row r="50" customFormat="false" ht="15.75" hidden="false" customHeight="false" outlineLevel="0" collapsed="false">
      <c r="A50" s="30"/>
      <c r="B50" s="27"/>
      <c r="D50" s="31" t="s">
        <v>758</v>
      </c>
      <c r="E50" s="31"/>
      <c r="F50" s="31"/>
      <c r="G50" s="31"/>
      <c r="H50" s="31"/>
    </row>
    <row r="51" customFormat="false" ht="15.75" hidden="false" customHeight="false" outlineLevel="0" collapsed="false">
      <c r="A51" s="30"/>
      <c r="B51" s="27"/>
      <c r="E51" s="1" t="s">
        <v>759</v>
      </c>
      <c r="F51" s="1" t="s">
        <v>760</v>
      </c>
      <c r="G51" s="1" t="s">
        <v>737</v>
      </c>
      <c r="H51" s="1" t="s">
        <v>738</v>
      </c>
      <c r="I51" s="1" t="s">
        <v>680</v>
      </c>
    </row>
    <row r="52" customFormat="false" ht="15.75" hidden="false" customHeight="false" outlineLevel="0" collapsed="false">
      <c r="A52" s="30"/>
      <c r="B52" s="27"/>
      <c r="E52" s="1"/>
      <c r="G52" s="1"/>
      <c r="I52" s="1"/>
    </row>
    <row r="53" customFormat="false" ht="15.75" hidden="false" customHeight="false" outlineLevel="0" collapsed="false">
      <c r="A53" s="30"/>
      <c r="B53" s="27"/>
    </row>
    <row r="54" customFormat="false" ht="15.75" hidden="false" customHeight="false" outlineLevel="0" collapsed="false">
      <c r="D54" s="32" t="n">
        <f aca="false">IFERROR(__xludf.dummyfunction("SORT(FILTER('Переформатированный ответ'!$A$2:$A$172,NOT('Переформатированный ответ'!$A$2:$A$172 = """"),arrayformula((G52 = """")+('Переформатированный ответ'!$I$2:$I$172 = G52) &gt; 0),arrayformula((H52 = """")+('Переформатированный ответ'!$J$2:$J$172 = H52"&amp;") &gt; 0),arrayformula((F52 = """")+('Переформатированный ответ'!$E$2:$E$172 = F52) &gt; 0),arrayformula((E52 = """")+('Переформатированный ответ'!$D$2:$D$172 = E52) &gt; 0),arrayformula((I52 = """")+('Переформатированный ответ'!$K$2:$K$172 = I52) &gt; 0)),1,TRUE)"),43219.7789290972)</f>
        <v>43219.77893</v>
      </c>
      <c r="E54" s="27" t="n">
        <f aca="false">IF(D54="","",ROW()-53)</f>
        <v>1</v>
      </c>
    </row>
    <row r="55" customFormat="false" ht="15.75" hidden="false" customHeight="false" outlineLevel="0" collapsed="false">
      <c r="D55" s="32" t="n">
        <f aca="false">IFERROR(__xludf.dummyfunction("""COMPUTED_VALUE"""),43219.7819177083)</f>
        <v>43219.78192</v>
      </c>
      <c r="E55" s="27" t="n">
        <f aca="false">IF(D55="","",ROW()-53)</f>
        <v>2</v>
      </c>
    </row>
    <row r="56" customFormat="false" ht="15.75" hidden="false" customHeight="false" outlineLevel="0" collapsed="false">
      <c r="D56" s="32" t="n">
        <f aca="false">IFERROR(__xludf.dummyfunction("""COMPUTED_VALUE"""),43219.7832667245)</f>
        <v>43219.78327</v>
      </c>
      <c r="E56" s="27" t="n">
        <f aca="false">IF(D56="","",ROW()-53)</f>
        <v>3</v>
      </c>
    </row>
    <row r="57" customFormat="false" ht="15.75" hidden="false" customHeight="false" outlineLevel="0" collapsed="false">
      <c r="D57" s="32" t="n">
        <f aca="false">IFERROR(__xludf.dummyfunction("""COMPUTED_VALUE"""),43219.7867265278)</f>
        <v>43219.78673</v>
      </c>
      <c r="E57" s="27" t="n">
        <f aca="false">IF(D57="","",ROW()-53)</f>
        <v>4</v>
      </c>
    </row>
    <row r="58" customFormat="false" ht="15.75" hidden="false" customHeight="false" outlineLevel="0" collapsed="false">
      <c r="D58" s="32" t="n">
        <f aca="false">IFERROR(__xludf.dummyfunction("""COMPUTED_VALUE"""),43219.7883524653)</f>
        <v>43219.78835</v>
      </c>
      <c r="E58" s="27" t="n">
        <f aca="false">IF(D58="","",ROW()-53)</f>
        <v>5</v>
      </c>
    </row>
    <row r="59" customFormat="false" ht="15.75" hidden="false" customHeight="false" outlineLevel="0" collapsed="false">
      <c r="D59" s="32" t="n">
        <f aca="false">IFERROR(__xludf.dummyfunction("""COMPUTED_VALUE"""),43219.7887197569)</f>
        <v>43219.78872</v>
      </c>
      <c r="E59" s="27" t="n">
        <f aca="false">IF(D59="","",ROW()-53)</f>
        <v>6</v>
      </c>
    </row>
    <row r="60" customFormat="false" ht="15.75" hidden="false" customHeight="false" outlineLevel="0" collapsed="false">
      <c r="D60" s="32" t="n">
        <f aca="false">IFERROR(__xludf.dummyfunction("""COMPUTED_VALUE"""),43219.7911865509)</f>
        <v>43219.79119</v>
      </c>
      <c r="E60" s="27" t="n">
        <f aca="false">IF(D60="","",ROW()-53)</f>
        <v>7</v>
      </c>
    </row>
    <row r="61" customFormat="false" ht="15.75" hidden="false" customHeight="false" outlineLevel="0" collapsed="false">
      <c r="D61" s="32" t="n">
        <f aca="false">IFERROR(__xludf.dummyfunction("""COMPUTED_VALUE"""),43219.7930036806)</f>
        <v>43219.793</v>
      </c>
      <c r="E61" s="27" t="n">
        <f aca="false">IF(D61="","",ROW()-53)</f>
        <v>8</v>
      </c>
    </row>
    <row r="62" customFormat="false" ht="15.75" hidden="false" customHeight="false" outlineLevel="0" collapsed="false">
      <c r="D62" s="32" t="n">
        <f aca="false">IFERROR(__xludf.dummyfunction("""COMPUTED_VALUE"""),43219.7934564005)</f>
        <v>43219.79346</v>
      </c>
      <c r="E62" s="27" t="n">
        <f aca="false">IF(D62="","",ROW()-53)</f>
        <v>9</v>
      </c>
    </row>
    <row r="63" customFormat="false" ht="15.75" hidden="false" customHeight="false" outlineLevel="0" collapsed="false">
      <c r="D63" s="32" t="n">
        <f aca="false">IFERROR(__xludf.dummyfunction("""COMPUTED_VALUE"""),43219.7944161574)</f>
        <v>43219.79442</v>
      </c>
      <c r="E63" s="27" t="n">
        <f aca="false">IF(D63="","",ROW()-53)</f>
        <v>10</v>
      </c>
    </row>
    <row r="64" customFormat="false" ht="15.75" hidden="false" customHeight="false" outlineLevel="0" collapsed="false">
      <c r="D64" s="32" t="n">
        <f aca="false">IFERROR(__xludf.dummyfunction("""COMPUTED_VALUE"""),43219.7961436458)</f>
        <v>43219.79614</v>
      </c>
      <c r="E64" s="27" t="n">
        <f aca="false">IF(D64="","",ROW()-53)</f>
        <v>11</v>
      </c>
    </row>
    <row r="65" customFormat="false" ht="15.75" hidden="false" customHeight="false" outlineLevel="0" collapsed="false">
      <c r="D65" s="32" t="n">
        <f aca="false">IFERROR(__xludf.dummyfunction("""COMPUTED_VALUE"""),43219.7964826852)</f>
        <v>43219.79648</v>
      </c>
      <c r="E65" s="27" t="n">
        <f aca="false">IF(D65="","",ROW()-53)</f>
        <v>12</v>
      </c>
    </row>
    <row r="66" customFormat="false" ht="15.75" hidden="false" customHeight="false" outlineLevel="0" collapsed="false">
      <c r="D66" s="32" t="n">
        <f aca="false">IFERROR(__xludf.dummyfunction("""COMPUTED_VALUE"""),43219.7965105671)</f>
        <v>43219.79651</v>
      </c>
      <c r="E66" s="27" t="n">
        <f aca="false">IF(D66="","",ROW()-53)</f>
        <v>13</v>
      </c>
    </row>
    <row r="67" customFormat="false" ht="15.75" hidden="false" customHeight="false" outlineLevel="0" collapsed="false">
      <c r="D67" s="32" t="n">
        <f aca="false">IFERROR(__xludf.dummyfunction("""COMPUTED_VALUE"""),43219.803508287)</f>
        <v>43219.80351</v>
      </c>
      <c r="E67" s="27" t="n">
        <f aca="false">IF(D67="","",ROW()-53)</f>
        <v>14</v>
      </c>
    </row>
    <row r="68" customFormat="false" ht="15.75" hidden="false" customHeight="false" outlineLevel="0" collapsed="false">
      <c r="D68" s="32" t="n">
        <f aca="false">IFERROR(__xludf.dummyfunction("""COMPUTED_VALUE"""),43219.8043655903)</f>
        <v>43219.80437</v>
      </c>
      <c r="E68" s="27" t="n">
        <f aca="false">IF(D68="","",ROW()-53)</f>
        <v>15</v>
      </c>
    </row>
    <row r="69" customFormat="false" ht="15.75" hidden="false" customHeight="false" outlineLevel="0" collapsed="false">
      <c r="D69" s="32" t="n">
        <f aca="false">IFERROR(__xludf.dummyfunction("""COMPUTED_VALUE"""),43219.8045988079)</f>
        <v>43219.8046</v>
      </c>
      <c r="E69" s="27" t="n">
        <f aca="false">IF(D69="","",ROW()-53)</f>
        <v>16</v>
      </c>
    </row>
    <row r="70" customFormat="false" ht="15.75" hidden="false" customHeight="false" outlineLevel="0" collapsed="false">
      <c r="D70" s="32" t="n">
        <f aca="false">IFERROR(__xludf.dummyfunction("""COMPUTED_VALUE"""),43219.8051531366)</f>
        <v>43219.80515</v>
      </c>
      <c r="E70" s="27" t="n">
        <f aca="false">IF(D70="","",ROW()-53)</f>
        <v>17</v>
      </c>
    </row>
    <row r="71" customFormat="false" ht="15.75" hidden="false" customHeight="false" outlineLevel="0" collapsed="false">
      <c r="D71" s="32" t="n">
        <f aca="false">IFERROR(__xludf.dummyfunction("""COMPUTED_VALUE"""),43219.8089802083)</f>
        <v>43219.80898</v>
      </c>
      <c r="E71" s="27" t="n">
        <f aca="false">IF(D71="","",ROW()-53)</f>
        <v>18</v>
      </c>
    </row>
    <row r="72" customFormat="false" ht="15.75" hidden="false" customHeight="false" outlineLevel="0" collapsed="false">
      <c r="D72" s="11" t="n">
        <f aca="false">IFERROR(__xludf.dummyfunction("""COMPUTED_VALUE"""),43219.8089916898)</f>
        <v>43219.80899</v>
      </c>
      <c r="E72" s="27" t="n">
        <f aca="false">IF(D72="","",ROW()-53)</f>
        <v>19</v>
      </c>
    </row>
    <row r="73" customFormat="false" ht="15.75" hidden="false" customHeight="false" outlineLevel="0" collapsed="false">
      <c r="D73" s="11" t="n">
        <f aca="false">IFERROR(__xludf.dummyfunction("""COMPUTED_VALUE"""),43219.816239919)</f>
        <v>43219.81624</v>
      </c>
      <c r="E73" s="27" t="n">
        <f aca="false">IF(D73="","",ROW()-53)</f>
        <v>20</v>
      </c>
    </row>
    <row r="74" customFormat="false" ht="15.75" hidden="false" customHeight="false" outlineLevel="0" collapsed="false">
      <c r="D74" s="11" t="n">
        <f aca="false">IFERROR(__xludf.dummyfunction("""COMPUTED_VALUE"""),43219.8169036343)</f>
        <v>43219.8169</v>
      </c>
      <c r="E74" s="27" t="n">
        <f aca="false">IF(D74="","",ROW()-53)</f>
        <v>21</v>
      </c>
    </row>
    <row r="75" customFormat="false" ht="15.75" hidden="false" customHeight="false" outlineLevel="0" collapsed="false">
      <c r="D75" s="11" t="n">
        <f aca="false">IFERROR(__xludf.dummyfunction("""COMPUTED_VALUE"""),43219.8170103009)</f>
        <v>43219.81701</v>
      </c>
      <c r="E75" s="27" t="n">
        <f aca="false">IF(D75="","",ROW()-53)</f>
        <v>22</v>
      </c>
    </row>
    <row r="76" customFormat="false" ht="15.75" hidden="false" customHeight="false" outlineLevel="0" collapsed="false">
      <c r="D76" s="11" t="n">
        <f aca="false">IFERROR(__xludf.dummyfunction("""COMPUTED_VALUE"""),43219.8291390162)</f>
        <v>43219.82914</v>
      </c>
      <c r="E76" s="27" t="n">
        <f aca="false">IF(D76="","",ROW()-53)</f>
        <v>23</v>
      </c>
    </row>
    <row r="77" customFormat="false" ht="15.75" hidden="false" customHeight="false" outlineLevel="0" collapsed="false">
      <c r="D77" s="11" t="n">
        <f aca="false">IFERROR(__xludf.dummyfunction("""COMPUTED_VALUE"""),43219.8299725)</f>
        <v>43219.82997</v>
      </c>
      <c r="E77" s="27" t="n">
        <f aca="false">IF(D77="","",ROW()-53)</f>
        <v>24</v>
      </c>
    </row>
    <row r="78" customFormat="false" ht="15.75" hidden="false" customHeight="false" outlineLevel="0" collapsed="false">
      <c r="D78" s="11" t="n">
        <f aca="false">IFERROR(__xludf.dummyfunction("""COMPUTED_VALUE"""),43219.8390176389)</f>
        <v>43219.83902</v>
      </c>
      <c r="E78" s="27" t="n">
        <f aca="false">IF(D78="","",ROW()-53)</f>
        <v>25</v>
      </c>
    </row>
    <row r="79" customFormat="false" ht="15.75" hidden="false" customHeight="false" outlineLevel="0" collapsed="false">
      <c r="D79" s="11" t="n">
        <f aca="false">IFERROR(__xludf.dummyfunction("""COMPUTED_VALUE"""),43219.8391704051)</f>
        <v>43219.83917</v>
      </c>
      <c r="E79" s="27" t="n">
        <f aca="false">IF(D79="","",ROW()-53)</f>
        <v>26</v>
      </c>
    </row>
    <row r="80" customFormat="false" ht="15.75" hidden="false" customHeight="false" outlineLevel="0" collapsed="false">
      <c r="D80" s="11" t="n">
        <f aca="false">IFERROR(__xludf.dummyfunction("""COMPUTED_VALUE"""),43219.8395610533)</f>
        <v>43219.83956</v>
      </c>
      <c r="E80" s="27" t="n">
        <f aca="false">IF(D80="","",ROW()-53)</f>
        <v>27</v>
      </c>
    </row>
    <row r="81" customFormat="false" ht="15.75" hidden="false" customHeight="false" outlineLevel="0" collapsed="false">
      <c r="D81" s="11" t="n">
        <f aca="false">IFERROR(__xludf.dummyfunction("""COMPUTED_VALUE"""),43219.8409502315)</f>
        <v>43219.84095</v>
      </c>
      <c r="E81" s="27" t="n">
        <f aca="false">IF(D81="","",ROW()-53)</f>
        <v>28</v>
      </c>
    </row>
    <row r="82" customFormat="false" ht="15.75" hidden="false" customHeight="false" outlineLevel="0" collapsed="false">
      <c r="D82" s="11" t="n">
        <f aca="false">IFERROR(__xludf.dummyfunction("""COMPUTED_VALUE"""),43219.8428541898)</f>
        <v>43219.84285</v>
      </c>
      <c r="E82" s="27" t="n">
        <f aca="false">IF(D82="","",ROW()-53)</f>
        <v>29</v>
      </c>
    </row>
    <row r="83" customFormat="false" ht="15.75" hidden="false" customHeight="false" outlineLevel="0" collapsed="false">
      <c r="D83" s="11" t="n">
        <f aca="false">IFERROR(__xludf.dummyfunction("""COMPUTED_VALUE"""),43219.8444911806)</f>
        <v>43219.84449</v>
      </c>
      <c r="E83" s="27" t="n">
        <f aca="false">IF(D83="","",ROW()-53)</f>
        <v>30</v>
      </c>
    </row>
    <row r="84" customFormat="false" ht="15.75" hidden="false" customHeight="false" outlineLevel="0" collapsed="false">
      <c r="D84" s="11" t="n">
        <f aca="false">IFERROR(__xludf.dummyfunction("""COMPUTED_VALUE"""),43219.8451252083)</f>
        <v>43219.84513</v>
      </c>
      <c r="E84" s="27" t="n">
        <f aca="false">IF(D84="","",ROW()-53)</f>
        <v>31</v>
      </c>
    </row>
    <row r="85" customFormat="false" ht="15.75" hidden="false" customHeight="false" outlineLevel="0" collapsed="false">
      <c r="D85" s="11" t="n">
        <f aca="false">IFERROR(__xludf.dummyfunction("""COMPUTED_VALUE"""),43219.8456938657)</f>
        <v>43219.84569</v>
      </c>
      <c r="E85" s="27" t="n">
        <f aca="false">IF(D85="","",ROW()-53)</f>
        <v>32</v>
      </c>
    </row>
    <row r="86" customFormat="false" ht="15.75" hidden="false" customHeight="false" outlineLevel="0" collapsed="false">
      <c r="D86" s="11" t="n">
        <f aca="false">IFERROR(__xludf.dummyfunction("""COMPUTED_VALUE"""),43219.8471419907)</f>
        <v>43219.84714</v>
      </c>
      <c r="E86" s="27" t="n">
        <f aca="false">IF(D86="","",ROW()-53)</f>
        <v>33</v>
      </c>
    </row>
    <row r="87" customFormat="false" ht="15.75" hidden="false" customHeight="false" outlineLevel="0" collapsed="false">
      <c r="D87" s="11" t="n">
        <f aca="false">IFERROR(__xludf.dummyfunction("""COMPUTED_VALUE"""),43219.8475952546)</f>
        <v>43219.8476</v>
      </c>
      <c r="E87" s="27" t="n">
        <f aca="false">IF(D87="","",ROW()-53)</f>
        <v>34</v>
      </c>
    </row>
    <row r="88" customFormat="false" ht="15.75" hidden="false" customHeight="false" outlineLevel="0" collapsed="false">
      <c r="D88" s="11" t="n">
        <f aca="false">IFERROR(__xludf.dummyfunction("""COMPUTED_VALUE"""),43219.863468912)</f>
        <v>43219.86347</v>
      </c>
      <c r="E88" s="27" t="n">
        <f aca="false">IF(D88="","",ROW()-53)</f>
        <v>35</v>
      </c>
    </row>
    <row r="89" customFormat="false" ht="15.75" hidden="false" customHeight="false" outlineLevel="0" collapsed="false">
      <c r="D89" s="11" t="n">
        <f aca="false">IFERROR(__xludf.dummyfunction("""COMPUTED_VALUE"""),43219.8656752083)</f>
        <v>43219.86568</v>
      </c>
      <c r="E89" s="27" t="n">
        <f aca="false">IF(D89="","",ROW()-53)</f>
        <v>36</v>
      </c>
    </row>
    <row r="90" customFormat="false" ht="15.75" hidden="false" customHeight="false" outlineLevel="0" collapsed="false">
      <c r="D90" s="11" t="n">
        <f aca="false">IFERROR(__xludf.dummyfunction("""COMPUTED_VALUE"""),43219.8735236227)</f>
        <v>43219.87352</v>
      </c>
      <c r="E90" s="27" t="n">
        <f aca="false">IF(D90="","",ROW()-53)</f>
        <v>37</v>
      </c>
    </row>
    <row r="91" customFormat="false" ht="15.75" hidden="false" customHeight="false" outlineLevel="0" collapsed="false">
      <c r="D91" s="11" t="n">
        <f aca="false">IFERROR(__xludf.dummyfunction("""COMPUTED_VALUE"""),43219.8753747338)</f>
        <v>43219.87537</v>
      </c>
      <c r="E91" s="27" t="n">
        <f aca="false">IF(D91="","",ROW()-53)</f>
        <v>38</v>
      </c>
    </row>
    <row r="92" customFormat="false" ht="15.75" hidden="false" customHeight="false" outlineLevel="0" collapsed="false">
      <c r="D92" s="11" t="n">
        <f aca="false">IFERROR(__xludf.dummyfunction("""COMPUTED_VALUE"""),43219.8829114005)</f>
        <v>43219.88291</v>
      </c>
      <c r="E92" s="27" t="n">
        <f aca="false">IF(D92="","",ROW()-53)</f>
        <v>39</v>
      </c>
    </row>
    <row r="93" customFormat="false" ht="15.75" hidden="false" customHeight="false" outlineLevel="0" collapsed="false">
      <c r="D93" s="11" t="n">
        <f aca="false">IFERROR(__xludf.dummyfunction("""COMPUTED_VALUE"""),43219.8912425463)</f>
        <v>43219.89124</v>
      </c>
      <c r="E93" s="27" t="n">
        <f aca="false">IF(D93="","",ROW()-53)</f>
        <v>40</v>
      </c>
    </row>
    <row r="94" customFormat="false" ht="15.75" hidden="false" customHeight="false" outlineLevel="0" collapsed="false">
      <c r="D94" s="11" t="n">
        <f aca="false">IFERROR(__xludf.dummyfunction("""COMPUTED_VALUE"""),43220.006485463)</f>
        <v>43220.00649</v>
      </c>
      <c r="E94" s="27" t="n">
        <f aca="false">IF(D94="","",ROW()-53)</f>
        <v>41</v>
      </c>
    </row>
    <row r="95" customFormat="false" ht="15.75" hidden="false" customHeight="false" outlineLevel="0" collapsed="false">
      <c r="D95" s="11" t="n">
        <f aca="false">IFERROR(__xludf.dummyfunction("""COMPUTED_VALUE"""),43220.1869950695)</f>
        <v>43220.187</v>
      </c>
      <c r="E95" s="27" t="n">
        <f aca="false">IF(D95="","",ROW()-53)</f>
        <v>42</v>
      </c>
    </row>
    <row r="96" customFormat="false" ht="15.75" hidden="false" customHeight="false" outlineLevel="0" collapsed="false">
      <c r="D96" s="11" t="n">
        <f aca="false">IFERROR(__xludf.dummyfunction("""COMPUTED_VALUE"""),43220.1881376852)</f>
        <v>43220.18814</v>
      </c>
      <c r="E96" s="27" t="n">
        <f aca="false">IF(D96="","",ROW()-53)</f>
        <v>43</v>
      </c>
    </row>
    <row r="97" customFormat="false" ht="15.75" hidden="false" customHeight="false" outlineLevel="0" collapsed="false">
      <c r="D97" s="11" t="n">
        <f aca="false">IFERROR(__xludf.dummyfunction("""COMPUTED_VALUE"""),43220.2120007407)</f>
        <v>43220.212</v>
      </c>
      <c r="E97" s="27" t="n">
        <f aca="false">IF(D97="","",ROW()-53)</f>
        <v>44</v>
      </c>
    </row>
    <row r="98" customFormat="false" ht="15.75" hidden="false" customHeight="false" outlineLevel="0" collapsed="false">
      <c r="D98" s="11" t="n">
        <f aca="false">IFERROR(__xludf.dummyfunction("""COMPUTED_VALUE"""),43220.2323571296)</f>
        <v>43220.23236</v>
      </c>
      <c r="E98" s="27" t="n">
        <f aca="false">IF(D98="","",ROW()-53)</f>
        <v>45</v>
      </c>
    </row>
    <row r="99" customFormat="false" ht="15.75" hidden="false" customHeight="false" outlineLevel="0" collapsed="false">
      <c r="D99" s="11" t="n">
        <f aca="false">IFERROR(__xludf.dummyfunction("""COMPUTED_VALUE"""),43220.236149456)</f>
        <v>43220.23615</v>
      </c>
      <c r="E99" s="27" t="n">
        <f aca="false">IF(D99="","",ROW()-53)</f>
        <v>46</v>
      </c>
    </row>
    <row r="100" customFormat="false" ht="15.75" hidden="false" customHeight="false" outlineLevel="0" collapsed="false">
      <c r="D100" s="11" t="n">
        <f aca="false">IFERROR(__xludf.dummyfunction("""COMPUTED_VALUE"""),43220.2701413542)</f>
        <v>43220.27014</v>
      </c>
      <c r="E100" s="27" t="n">
        <f aca="false">IF(D100="","",ROW()-53)</f>
        <v>47</v>
      </c>
    </row>
    <row r="101" customFormat="false" ht="15.75" hidden="false" customHeight="false" outlineLevel="0" collapsed="false">
      <c r="D101" s="11" t="n">
        <f aca="false">IFERROR(__xludf.dummyfunction("""COMPUTED_VALUE"""),43220.2772982986)</f>
        <v>43220.2773</v>
      </c>
      <c r="E101" s="27" t="n">
        <f aca="false">IF(D101="","",ROW()-53)</f>
        <v>48</v>
      </c>
    </row>
    <row r="102" customFormat="false" ht="15.75" hidden="false" customHeight="false" outlineLevel="0" collapsed="false">
      <c r="D102" s="11" t="n">
        <f aca="false">IFERROR(__xludf.dummyfunction("""COMPUTED_VALUE"""),43220.2822944329)</f>
        <v>43220.28229</v>
      </c>
      <c r="E102" s="27" t="n">
        <f aca="false">IF(D102="","",ROW()-53)</f>
        <v>49</v>
      </c>
    </row>
    <row r="103" customFormat="false" ht="15.75" hidden="false" customHeight="false" outlineLevel="0" collapsed="false">
      <c r="D103" s="11" t="n">
        <f aca="false">IFERROR(__xludf.dummyfunction("""COMPUTED_VALUE"""),43220.3440784028)</f>
        <v>43220.34408</v>
      </c>
      <c r="E103" s="27" t="n">
        <f aca="false">IF(D103="","",ROW()-53)</f>
        <v>50</v>
      </c>
    </row>
    <row r="104" customFormat="false" ht="15.75" hidden="false" customHeight="false" outlineLevel="0" collapsed="false">
      <c r="D104" s="11" t="n">
        <f aca="false">IFERROR(__xludf.dummyfunction("""COMPUTED_VALUE"""),43220.3682816782)</f>
        <v>43220.36828</v>
      </c>
      <c r="E104" s="27" t="n">
        <f aca="false">IF(D104="","",ROW()-53)</f>
        <v>51</v>
      </c>
    </row>
    <row r="105" customFormat="false" ht="15.75" hidden="false" customHeight="false" outlineLevel="0" collapsed="false">
      <c r="D105" s="11" t="n">
        <f aca="false">IFERROR(__xludf.dummyfunction("""COMPUTED_VALUE"""),43220.4017922801)</f>
        <v>43220.40179</v>
      </c>
      <c r="E105" s="27" t="n">
        <f aca="false">IF(D105="","",ROW()-53)</f>
        <v>52</v>
      </c>
    </row>
    <row r="106" customFormat="false" ht="15.75" hidden="false" customHeight="false" outlineLevel="0" collapsed="false">
      <c r="D106" s="11" t="n">
        <f aca="false">IFERROR(__xludf.dummyfunction("""COMPUTED_VALUE"""),43220.4297098148)</f>
        <v>43220.42971</v>
      </c>
      <c r="E106" s="27" t="n">
        <f aca="false">IF(D106="","",ROW()-53)</f>
        <v>53</v>
      </c>
    </row>
    <row r="107" customFormat="false" ht="15.75" hidden="false" customHeight="false" outlineLevel="0" collapsed="false">
      <c r="D107" s="11" t="n">
        <f aca="false">IFERROR(__xludf.dummyfunction("""COMPUTED_VALUE"""),43220.5693318056)</f>
        <v>43220.56933</v>
      </c>
      <c r="E107" s="27" t="n">
        <f aca="false">IF(D107="","",ROW()-53)</f>
        <v>54</v>
      </c>
    </row>
    <row r="108" customFormat="false" ht="15.75" hidden="false" customHeight="false" outlineLevel="0" collapsed="false">
      <c r="D108" s="11" t="n">
        <f aca="false">IFERROR(__xludf.dummyfunction("""COMPUTED_VALUE"""),43220.5751695602)</f>
        <v>43220.57517</v>
      </c>
      <c r="E108" s="27" t="n">
        <f aca="false">IF(D108="","",ROW()-53)</f>
        <v>55</v>
      </c>
    </row>
    <row r="109" customFormat="false" ht="15.75" hidden="false" customHeight="false" outlineLevel="0" collapsed="false">
      <c r="D109" s="11" t="n">
        <f aca="false">IFERROR(__xludf.dummyfunction("""COMPUTED_VALUE"""),43220.5871779745)</f>
        <v>43220.58718</v>
      </c>
      <c r="E109" s="27" t="n">
        <f aca="false">IF(D109="","",ROW()-53)</f>
        <v>56</v>
      </c>
    </row>
    <row r="110" customFormat="false" ht="15.75" hidden="false" customHeight="false" outlineLevel="0" collapsed="false">
      <c r="D110" s="11" t="n">
        <f aca="false">IFERROR(__xludf.dummyfunction("""COMPUTED_VALUE"""),43220.5873344907)</f>
        <v>43220.58733</v>
      </c>
      <c r="E110" s="27" t="n">
        <f aca="false">IF(D110="","",ROW()-53)</f>
        <v>57</v>
      </c>
    </row>
    <row r="111" customFormat="false" ht="15.75" hidden="false" customHeight="false" outlineLevel="0" collapsed="false">
      <c r="D111" s="11" t="n">
        <f aca="false">IFERROR(__xludf.dummyfunction("""COMPUTED_VALUE"""),43220.5929749537)</f>
        <v>43220.59297</v>
      </c>
      <c r="E111" s="27" t="n">
        <f aca="false">IF(D111="","",ROW()-53)</f>
        <v>58</v>
      </c>
    </row>
    <row r="112" customFormat="false" ht="15.75" hidden="false" customHeight="false" outlineLevel="0" collapsed="false">
      <c r="D112" s="11" t="n">
        <f aca="false">IFERROR(__xludf.dummyfunction("""COMPUTED_VALUE"""),43220.6212729745)</f>
        <v>43220.62127</v>
      </c>
      <c r="E112" s="27" t="n">
        <f aca="false">IF(D112="","",ROW()-53)</f>
        <v>59</v>
      </c>
    </row>
    <row r="113" customFormat="false" ht="15.75" hidden="false" customHeight="false" outlineLevel="0" collapsed="false">
      <c r="D113" s="11" t="n">
        <f aca="false">IFERROR(__xludf.dummyfunction("""COMPUTED_VALUE"""),43220.6740641667)</f>
        <v>43220.67406</v>
      </c>
      <c r="E113" s="27" t="n">
        <f aca="false">IF(D113="","",ROW()-53)</f>
        <v>60</v>
      </c>
    </row>
    <row r="114" customFormat="false" ht="15.75" hidden="false" customHeight="false" outlineLevel="0" collapsed="false">
      <c r="D114" s="11" t="n">
        <f aca="false">IFERROR(__xludf.dummyfunction("""COMPUTED_VALUE"""),43220.7203683102)</f>
        <v>43220.72037</v>
      </c>
      <c r="E114" s="27" t="n">
        <f aca="false">IF(D114="","",ROW()-53)</f>
        <v>61</v>
      </c>
    </row>
    <row r="115" customFormat="false" ht="15.75" hidden="false" customHeight="false" outlineLevel="0" collapsed="false">
      <c r="D115" s="11" t="n">
        <f aca="false">IFERROR(__xludf.dummyfunction("""COMPUTED_VALUE"""),43220.7314378357)</f>
        <v>43220.73144</v>
      </c>
      <c r="E115" s="27" t="n">
        <f aca="false">IF(D115="","",ROW()-53)</f>
        <v>62</v>
      </c>
    </row>
    <row r="116" customFormat="false" ht="15.75" hidden="false" customHeight="false" outlineLevel="0" collapsed="false">
      <c r="D116" s="11" t="n">
        <f aca="false">IFERROR(__xludf.dummyfunction("""COMPUTED_VALUE"""),43220.7560487153)</f>
        <v>43220.75605</v>
      </c>
      <c r="E116" s="27" t="n">
        <f aca="false">IF(D116="","",ROW()-53)</f>
        <v>63</v>
      </c>
    </row>
    <row r="117" customFormat="false" ht="15.75" hidden="false" customHeight="false" outlineLevel="0" collapsed="false">
      <c r="D117" s="11" t="n">
        <f aca="false">IFERROR(__xludf.dummyfunction("""COMPUTED_VALUE"""),43220.7591743519)</f>
        <v>43220.75917</v>
      </c>
      <c r="E117" s="27" t="n">
        <f aca="false">IF(D117="","",ROW()-53)</f>
        <v>64</v>
      </c>
    </row>
    <row r="118" customFormat="false" ht="15.75" hidden="false" customHeight="false" outlineLevel="0" collapsed="false">
      <c r="D118" s="11" t="n">
        <f aca="false">IFERROR(__xludf.dummyfunction("""COMPUTED_VALUE"""),43220.7594297107)</f>
        <v>43220.75943</v>
      </c>
      <c r="E118" s="27" t="n">
        <f aca="false">IF(D118="","",ROW()-53)</f>
        <v>65</v>
      </c>
    </row>
    <row r="119" customFormat="false" ht="15.75" hidden="false" customHeight="false" outlineLevel="0" collapsed="false">
      <c r="D119" s="11" t="n">
        <f aca="false">IFERROR(__xludf.dummyfunction("""COMPUTED_VALUE"""),43220.7599951389)</f>
        <v>43220.76</v>
      </c>
      <c r="E119" s="27" t="n">
        <f aca="false">IF(D119="","",ROW()-53)</f>
        <v>66</v>
      </c>
    </row>
    <row r="120" customFormat="false" ht="15.75" hidden="false" customHeight="false" outlineLevel="0" collapsed="false">
      <c r="A120" s="11"/>
      <c r="B120" s="27" t="str">
        <f aca="false">IF(A120="","",ROW()-53)</f>
        <v/>
      </c>
      <c r="D120" s="11" t="n">
        <f aca="false">IFERROR(__xludf.dummyfunction("""COMPUTED_VALUE"""),43220.7618344676)</f>
        <v>43220.76183</v>
      </c>
      <c r="E120" s="27" t="n">
        <f aca="false">IF(D120="","",ROW()-53)</f>
        <v>67</v>
      </c>
    </row>
    <row r="121" customFormat="false" ht="15.75" hidden="false" customHeight="false" outlineLevel="0" collapsed="false">
      <c r="A121" s="11"/>
      <c r="B121" s="27" t="str">
        <f aca="false">IF(A121="","",ROW()-53)</f>
        <v/>
      </c>
      <c r="D121" s="11" t="n">
        <f aca="false">IFERROR(__xludf.dummyfunction("""COMPUTED_VALUE"""),43220.7867796528)</f>
        <v>43220.78678</v>
      </c>
      <c r="E121" s="27" t="n">
        <f aca="false">IF(D121="","",ROW()-53)</f>
        <v>68</v>
      </c>
    </row>
    <row r="122" customFormat="false" ht="15.75" hidden="false" customHeight="false" outlineLevel="0" collapsed="false">
      <c r="A122" s="11"/>
      <c r="B122" s="27" t="str">
        <f aca="false">IF(A122="","",ROW()-53)</f>
        <v/>
      </c>
      <c r="D122" s="11" t="n">
        <f aca="false">IFERROR(__xludf.dummyfunction("""COMPUTED_VALUE"""),43220.7987228357)</f>
        <v>43220.79872</v>
      </c>
      <c r="E122" s="27" t="n">
        <f aca="false">IF(D122="","",ROW()-53)</f>
        <v>69</v>
      </c>
    </row>
    <row r="123" customFormat="false" ht="15.75" hidden="false" customHeight="false" outlineLevel="0" collapsed="false">
      <c r="A123" s="11"/>
      <c r="B123" s="27" t="str">
        <f aca="false">IF(A123="","",ROW()-53)</f>
        <v/>
      </c>
      <c r="D123" s="11" t="n">
        <f aca="false">IFERROR(__xludf.dummyfunction("""COMPUTED_VALUE"""),43220.804375787)</f>
        <v>43220.80438</v>
      </c>
      <c r="E123" s="27" t="n">
        <f aca="false">IF(D123="","",ROW()-53)</f>
        <v>70</v>
      </c>
    </row>
    <row r="124" customFormat="false" ht="15.75" hidden="false" customHeight="false" outlineLevel="0" collapsed="false">
      <c r="A124" s="11"/>
      <c r="B124" s="27" t="str">
        <f aca="false">IF(A124="","",ROW()-53)</f>
        <v/>
      </c>
      <c r="D124" s="11" t="n">
        <f aca="false">IFERROR(__xludf.dummyfunction("""COMPUTED_VALUE"""),43220.811456088)</f>
        <v>43220.81146</v>
      </c>
      <c r="E124" s="27" t="n">
        <f aca="false">IF(D124="","",ROW()-53)</f>
        <v>71</v>
      </c>
    </row>
    <row r="125" customFormat="false" ht="15.75" hidden="false" customHeight="false" outlineLevel="0" collapsed="false">
      <c r="A125" s="11"/>
      <c r="B125" s="27" t="str">
        <f aca="false">IF(A125="","",ROW()-53)</f>
        <v/>
      </c>
      <c r="D125" s="11" t="n">
        <f aca="false">IFERROR(__xludf.dummyfunction("""COMPUTED_VALUE"""),43220.8261646296)</f>
        <v>43220.82616</v>
      </c>
      <c r="E125" s="27" t="n">
        <f aca="false">IF(D125="","",ROW()-53)</f>
        <v>72</v>
      </c>
    </row>
    <row r="126" customFormat="false" ht="15.75" hidden="false" customHeight="false" outlineLevel="0" collapsed="false">
      <c r="A126" s="11"/>
      <c r="B126" s="27" t="str">
        <f aca="false">IF(A126="","",ROW()-53)</f>
        <v/>
      </c>
      <c r="D126" s="11" t="n">
        <f aca="false">IFERROR(__xludf.dummyfunction("""COMPUTED_VALUE"""),43220.8322591319)</f>
        <v>43220.83226</v>
      </c>
      <c r="E126" s="27" t="n">
        <f aca="false">IF(D126="","",ROW()-53)</f>
        <v>73</v>
      </c>
    </row>
    <row r="127" customFormat="false" ht="15.75" hidden="false" customHeight="false" outlineLevel="0" collapsed="false">
      <c r="A127" s="11"/>
      <c r="B127" s="27" t="str">
        <f aca="false">IF(A127="","",ROW()-53)</f>
        <v/>
      </c>
      <c r="D127" s="11" t="n">
        <f aca="false">IFERROR(__xludf.dummyfunction("""COMPUTED_VALUE"""),43220.8662196065)</f>
        <v>43220.86622</v>
      </c>
      <c r="E127" s="27" t="n">
        <f aca="false">IF(D127="","",ROW()-53)</f>
        <v>74</v>
      </c>
    </row>
    <row r="128" customFormat="false" ht="15.75" hidden="false" customHeight="false" outlineLevel="0" collapsed="false">
      <c r="A128" s="11"/>
      <c r="B128" s="27" t="str">
        <f aca="false">IF(A128="","",ROW()-53)</f>
        <v/>
      </c>
      <c r="D128" s="11" t="n">
        <f aca="false">IFERROR(__xludf.dummyfunction("""COMPUTED_VALUE"""),43221.2853585764)</f>
        <v>43221.28536</v>
      </c>
      <c r="E128" s="27" t="n">
        <f aca="false">IF(D128="","",ROW()-53)</f>
        <v>75</v>
      </c>
    </row>
    <row r="129" customFormat="false" ht="15.75" hidden="false" customHeight="false" outlineLevel="0" collapsed="false">
      <c r="A129" s="11"/>
      <c r="B129" s="27" t="str">
        <f aca="false">IF(A129="","",ROW()-53)</f>
        <v/>
      </c>
      <c r="D129" s="11" t="n">
        <f aca="false">IFERROR(__xludf.dummyfunction("""COMPUTED_VALUE"""),43221.2993582407)</f>
        <v>43221.29936</v>
      </c>
      <c r="E129" s="27" t="n">
        <f aca="false">IF(D129="","",ROW()-53)</f>
        <v>76</v>
      </c>
    </row>
    <row r="130" customFormat="false" ht="15.75" hidden="false" customHeight="false" outlineLevel="0" collapsed="false">
      <c r="A130" s="11"/>
      <c r="B130" s="27" t="str">
        <f aca="false">IF(A130="","",ROW()-53)</f>
        <v/>
      </c>
      <c r="D130" s="11" t="n">
        <f aca="false">IFERROR(__xludf.dummyfunction("""COMPUTED_VALUE"""),43221.3264223727)</f>
        <v>43221.32642</v>
      </c>
      <c r="E130" s="27" t="n">
        <f aca="false">IF(D130="","",ROW()-53)</f>
        <v>77</v>
      </c>
    </row>
    <row r="131" customFormat="false" ht="15.75" hidden="false" customHeight="false" outlineLevel="0" collapsed="false">
      <c r="A131" s="11"/>
      <c r="B131" s="27" t="str">
        <f aca="false">IF(A131="","",ROW()-53)</f>
        <v/>
      </c>
      <c r="D131" s="11" t="n">
        <f aca="false">IFERROR(__xludf.dummyfunction("""COMPUTED_VALUE"""),43221.3366987037)</f>
        <v>43221.3367</v>
      </c>
      <c r="E131" s="27" t="n">
        <f aca="false">IF(D131="","",ROW()-53)</f>
        <v>78</v>
      </c>
    </row>
    <row r="132" customFormat="false" ht="15.75" hidden="false" customHeight="false" outlineLevel="0" collapsed="false">
      <c r="A132" s="11"/>
      <c r="B132" s="27" t="str">
        <f aca="false">IF(A132="","",ROW()-53)</f>
        <v/>
      </c>
      <c r="D132" s="11" t="n">
        <f aca="false">IFERROR(__xludf.dummyfunction("""COMPUTED_VALUE"""),43221.3408760301)</f>
        <v>43221.34088</v>
      </c>
      <c r="E132" s="27" t="n">
        <f aca="false">IF(D132="","",ROW()-53)</f>
        <v>79</v>
      </c>
    </row>
    <row r="133" customFormat="false" ht="15.75" hidden="false" customHeight="false" outlineLevel="0" collapsed="false">
      <c r="A133" s="11"/>
      <c r="B133" s="27" t="str">
        <f aca="false">IF(A133="","",ROW()-53)</f>
        <v/>
      </c>
      <c r="D133" s="11" t="n">
        <f aca="false">IFERROR(__xludf.dummyfunction("""COMPUTED_VALUE"""),43221.3430703588)</f>
        <v>43221.34307</v>
      </c>
      <c r="E133" s="27" t="n">
        <f aca="false">IF(D133="","",ROW()-53)</f>
        <v>80</v>
      </c>
    </row>
    <row r="134" customFormat="false" ht="15.75" hidden="false" customHeight="false" outlineLevel="0" collapsed="false">
      <c r="A134" s="11"/>
      <c r="B134" s="27" t="str">
        <f aca="false">IF(A134="","",ROW()-53)</f>
        <v/>
      </c>
      <c r="D134" s="11" t="n">
        <f aca="false">IFERROR(__xludf.dummyfunction("""COMPUTED_VALUE"""),43221.4677968866)</f>
        <v>43221.4678</v>
      </c>
      <c r="E134" s="27" t="n">
        <f aca="false">IF(D134="","",ROW()-53)</f>
        <v>81</v>
      </c>
    </row>
    <row r="135" customFormat="false" ht="15.75" hidden="false" customHeight="false" outlineLevel="0" collapsed="false">
      <c r="A135" s="11"/>
      <c r="B135" s="27" t="str">
        <f aca="false">IF(A135="","",ROW()-53)</f>
        <v/>
      </c>
      <c r="D135" s="11" t="n">
        <f aca="false">IFERROR(__xludf.dummyfunction("""COMPUTED_VALUE"""),43221.5126128704)</f>
        <v>43221.51261</v>
      </c>
      <c r="E135" s="27" t="n">
        <f aca="false">IF(D135="","",ROW()-53)</f>
        <v>82</v>
      </c>
    </row>
    <row r="136" customFormat="false" ht="15.75" hidden="false" customHeight="false" outlineLevel="0" collapsed="false">
      <c r="A136" s="11"/>
      <c r="B136" s="27" t="str">
        <f aca="false">IF(A136="","",ROW()-53)</f>
        <v/>
      </c>
      <c r="D136" s="11" t="n">
        <f aca="false">IFERROR(__xludf.dummyfunction("""COMPUTED_VALUE"""),43221.6035221759)</f>
        <v>43221.60352</v>
      </c>
      <c r="E136" s="27" t="n">
        <f aca="false">IF(D136="","",ROW()-53)</f>
        <v>83</v>
      </c>
    </row>
    <row r="137" customFormat="false" ht="15.75" hidden="false" customHeight="false" outlineLevel="0" collapsed="false">
      <c r="A137" s="11"/>
      <c r="B137" s="27" t="str">
        <f aca="false">IF(A137="","",ROW()-53)</f>
        <v/>
      </c>
      <c r="D137" s="11" t="n">
        <f aca="false">IFERROR(__xludf.dummyfunction("""COMPUTED_VALUE"""),43221.6140246991)</f>
        <v>43221.61402</v>
      </c>
      <c r="E137" s="27" t="n">
        <f aca="false">IF(D137="","",ROW()-53)</f>
        <v>84</v>
      </c>
    </row>
    <row r="138" customFormat="false" ht="15.75" hidden="false" customHeight="false" outlineLevel="0" collapsed="false">
      <c r="A138" s="11"/>
      <c r="B138" s="27" t="str">
        <f aca="false">IF(A138="","",ROW()-53)</f>
        <v/>
      </c>
      <c r="D138" s="11" t="n">
        <f aca="false">IFERROR(__xludf.dummyfunction("""COMPUTED_VALUE"""),43221.6194452778)</f>
        <v>43221.61945</v>
      </c>
      <c r="E138" s="27" t="n">
        <f aca="false">IF(D138="","",ROW()-53)</f>
        <v>85</v>
      </c>
    </row>
    <row r="139" customFormat="false" ht="15.75" hidden="false" customHeight="false" outlineLevel="0" collapsed="false">
      <c r="A139" s="11"/>
      <c r="B139" s="27" t="str">
        <f aca="false">IF(A139="","",ROW()-53)</f>
        <v/>
      </c>
      <c r="D139" s="11" t="n">
        <f aca="false">IFERROR(__xludf.dummyfunction("""COMPUTED_VALUE"""),43221.6501416435)</f>
        <v>43221.65014</v>
      </c>
      <c r="E139" s="27" t="n">
        <f aca="false">IF(D139="","",ROW()-53)</f>
        <v>86</v>
      </c>
    </row>
    <row r="140" customFormat="false" ht="15.75" hidden="false" customHeight="false" outlineLevel="0" collapsed="false">
      <c r="A140" s="11"/>
      <c r="B140" s="27" t="str">
        <f aca="false">IF(A140="","",ROW()-53)</f>
        <v/>
      </c>
      <c r="D140" s="11" t="n">
        <f aca="false">IFERROR(__xludf.dummyfunction("""COMPUTED_VALUE"""),43221.6979844213)</f>
        <v>43221.69798</v>
      </c>
      <c r="E140" s="27" t="n">
        <f aca="false">IF(D140="","",ROW()-53)</f>
        <v>87</v>
      </c>
    </row>
    <row r="141" customFormat="false" ht="15.75" hidden="false" customHeight="false" outlineLevel="0" collapsed="false">
      <c r="A141" s="11"/>
      <c r="B141" s="27" t="str">
        <f aca="false">IF(A141="","",ROW()-53)</f>
        <v/>
      </c>
      <c r="D141" s="11" t="n">
        <f aca="false">IFERROR(__xludf.dummyfunction("""COMPUTED_VALUE"""),43221.8118024653)</f>
        <v>43221.8118</v>
      </c>
      <c r="E141" s="27" t="n">
        <f aca="false">IF(D141="","",ROW()-53)</f>
        <v>88</v>
      </c>
    </row>
    <row r="142" customFormat="false" ht="15.75" hidden="false" customHeight="false" outlineLevel="0" collapsed="false">
      <c r="A142" s="11"/>
      <c r="B142" s="27" t="str">
        <f aca="false">IF(A142="","",ROW()-53)</f>
        <v/>
      </c>
      <c r="D142" s="11" t="n">
        <f aca="false">IFERROR(__xludf.dummyfunction("""COMPUTED_VALUE"""),43221.8255876736)</f>
        <v>43221.82559</v>
      </c>
      <c r="E142" s="27" t="n">
        <f aca="false">IF(D142="","",ROW()-53)</f>
        <v>89</v>
      </c>
    </row>
    <row r="143" customFormat="false" ht="15.75" hidden="false" customHeight="false" outlineLevel="0" collapsed="false">
      <c r="A143" s="11"/>
      <c r="B143" s="27" t="str">
        <f aca="false">IF(A143="","",ROW()-53)</f>
        <v/>
      </c>
      <c r="D143" s="11" t="n">
        <f aca="false">IFERROR(__xludf.dummyfunction("""COMPUTED_VALUE"""),43221.8256128588)</f>
        <v>43221.82561</v>
      </c>
      <c r="E143" s="27" t="n">
        <f aca="false">IF(D143="","",ROW()-53)</f>
        <v>90</v>
      </c>
    </row>
    <row r="144" customFormat="false" ht="15.75" hidden="false" customHeight="false" outlineLevel="0" collapsed="false">
      <c r="A144" s="11"/>
      <c r="B144" s="27" t="str">
        <f aca="false">IF(A144="","",ROW()-53)</f>
        <v/>
      </c>
      <c r="D144" s="11" t="n">
        <f aca="false">IFERROR(__xludf.dummyfunction("""COMPUTED_VALUE"""),43221.8337743866)</f>
        <v>43221.83377</v>
      </c>
      <c r="E144" s="27" t="n">
        <f aca="false">IF(D144="","",ROW()-53)</f>
        <v>91</v>
      </c>
    </row>
    <row r="145" customFormat="false" ht="15.75" hidden="false" customHeight="false" outlineLevel="0" collapsed="false">
      <c r="A145" s="11"/>
      <c r="B145" s="27" t="str">
        <f aca="false">IF(A145="","",ROW()-53)</f>
        <v/>
      </c>
      <c r="D145" s="11" t="n">
        <f aca="false">IFERROR(__xludf.dummyfunction("""COMPUTED_VALUE"""),43221.836970081)</f>
        <v>43221.83697</v>
      </c>
      <c r="E145" s="27" t="n">
        <f aca="false">IF(D145="","",ROW()-53)</f>
        <v>92</v>
      </c>
    </row>
    <row r="146" customFormat="false" ht="15.75" hidden="false" customHeight="false" outlineLevel="0" collapsed="false">
      <c r="A146" s="11"/>
      <c r="B146" s="27" t="str">
        <f aca="false">IF(A146="","",ROW()-53)</f>
        <v/>
      </c>
      <c r="D146" s="11" t="n">
        <f aca="false">IFERROR(__xludf.dummyfunction("""COMPUTED_VALUE"""),43221.8391082407)</f>
        <v>43221.83911</v>
      </c>
      <c r="E146" s="27" t="n">
        <f aca="false">IF(D146="","",ROW()-53)</f>
        <v>93</v>
      </c>
    </row>
    <row r="147" customFormat="false" ht="15.75" hidden="false" customHeight="false" outlineLevel="0" collapsed="false">
      <c r="A147" s="11"/>
      <c r="B147" s="27" t="str">
        <f aca="false">IF(A147="","",ROW()-53)</f>
        <v/>
      </c>
      <c r="D147" s="11" t="n">
        <f aca="false">IFERROR(__xludf.dummyfunction("""COMPUTED_VALUE"""),43221.8653332986)</f>
        <v>43221.86533</v>
      </c>
      <c r="E147" s="27" t="n">
        <f aca="false">IF(D147="","",ROW()-53)</f>
        <v>94</v>
      </c>
    </row>
    <row r="148" customFormat="false" ht="15.75" hidden="false" customHeight="false" outlineLevel="0" collapsed="false">
      <c r="A148" s="11"/>
      <c r="B148" s="27" t="str">
        <f aca="false">IF(A148="","",ROW()-53)</f>
        <v/>
      </c>
      <c r="D148" s="11" t="n">
        <f aca="false">IFERROR(__xludf.dummyfunction("""COMPUTED_VALUE"""),43221.8669291088)</f>
        <v>43221.86693</v>
      </c>
      <c r="E148" s="27" t="n">
        <f aca="false">IF(D148="","",ROW()-53)</f>
        <v>95</v>
      </c>
    </row>
    <row r="149" customFormat="false" ht="15.75" hidden="false" customHeight="false" outlineLevel="0" collapsed="false">
      <c r="A149" s="11"/>
      <c r="B149" s="27" t="str">
        <f aca="false">IF(A149="","",ROW()-53)</f>
        <v/>
      </c>
      <c r="D149" s="11" t="n">
        <f aca="false">IFERROR(__xludf.dummyfunction("""COMPUTED_VALUE"""),43221.939024213)</f>
        <v>43221.93902</v>
      </c>
      <c r="E149" s="27" t="n">
        <f aca="false">IF(D149="","",ROW()-53)</f>
        <v>96</v>
      </c>
    </row>
    <row r="150" customFormat="false" ht="15.75" hidden="false" customHeight="false" outlineLevel="0" collapsed="false">
      <c r="A150" s="11"/>
      <c r="B150" s="27" t="str">
        <f aca="false">IF(A150="","",ROW()-53)</f>
        <v/>
      </c>
      <c r="D150" s="11" t="n">
        <f aca="false">IFERROR(__xludf.dummyfunction("""COMPUTED_VALUE"""),43222.3696486574)</f>
        <v>43222.36965</v>
      </c>
      <c r="E150" s="27" t="n">
        <f aca="false">IF(D150="","",ROW()-53)</f>
        <v>97</v>
      </c>
    </row>
    <row r="151" customFormat="false" ht="15.75" hidden="false" customHeight="false" outlineLevel="0" collapsed="false">
      <c r="A151" s="11"/>
      <c r="B151" s="27" t="str">
        <f aca="false">IF(A151="","",ROW()-53)</f>
        <v/>
      </c>
      <c r="D151" s="11" t="n">
        <f aca="false">IFERROR(__xludf.dummyfunction("""COMPUTED_VALUE"""),43222.4018072106)</f>
        <v>43222.40181</v>
      </c>
      <c r="E151" s="27" t="n">
        <f aca="false">IF(D151="","",ROW()-53)</f>
        <v>98</v>
      </c>
    </row>
    <row r="152" customFormat="false" ht="15.75" hidden="false" customHeight="false" outlineLevel="0" collapsed="false">
      <c r="A152" s="11"/>
      <c r="B152" s="27" t="str">
        <f aca="false">IF(A152="","",ROW()-53)</f>
        <v/>
      </c>
      <c r="D152" s="11" t="n">
        <f aca="false">IFERROR(__xludf.dummyfunction("""COMPUTED_VALUE"""),43222.4118043866)</f>
        <v>43222.4118</v>
      </c>
      <c r="E152" s="27" t="n">
        <f aca="false">IF(D152="","",ROW()-53)</f>
        <v>99</v>
      </c>
    </row>
    <row r="153" customFormat="false" ht="15.75" hidden="false" customHeight="false" outlineLevel="0" collapsed="false">
      <c r="A153" s="11"/>
      <c r="B153" s="27" t="str">
        <f aca="false">IF(A153="","",ROW()-53)</f>
        <v/>
      </c>
      <c r="D153" s="11" t="n">
        <f aca="false">IFERROR(__xludf.dummyfunction("""COMPUTED_VALUE"""),43222.4124764931)</f>
        <v>43222.41248</v>
      </c>
      <c r="E153" s="27" t="n">
        <f aca="false">IF(D153="","",ROW()-53)</f>
        <v>100</v>
      </c>
    </row>
    <row r="154" customFormat="false" ht="15.75" hidden="false" customHeight="false" outlineLevel="0" collapsed="false">
      <c r="A154" s="11"/>
      <c r="B154" s="27" t="str">
        <f aca="false">IF(A154="","",ROW()-53)</f>
        <v/>
      </c>
      <c r="D154" s="11" t="n">
        <f aca="false">IFERROR(__xludf.dummyfunction("""COMPUTED_VALUE"""),43222.4563204398)</f>
        <v>43222.45632</v>
      </c>
      <c r="E154" s="27" t="n">
        <f aca="false">IF(D154="","",ROW()-53)</f>
        <v>101</v>
      </c>
    </row>
    <row r="155" customFormat="false" ht="15.75" hidden="false" customHeight="false" outlineLevel="0" collapsed="false">
      <c r="A155" s="11"/>
      <c r="B155" s="27" t="str">
        <f aca="false">IF(A155="","",ROW()-53)</f>
        <v/>
      </c>
      <c r="D155" s="11" t="n">
        <f aca="false">IFERROR(__xludf.dummyfunction("""COMPUTED_VALUE"""),43222.6095442477)</f>
        <v>43222.60954</v>
      </c>
      <c r="E155" s="27" t="n">
        <f aca="false">IF(D155="","",ROW()-53)</f>
        <v>102</v>
      </c>
    </row>
    <row r="156" customFormat="false" ht="15.75" hidden="false" customHeight="false" outlineLevel="0" collapsed="false">
      <c r="A156" s="11"/>
      <c r="B156" s="27" t="str">
        <f aca="false">IF(A156="","",ROW()-53)</f>
        <v/>
      </c>
      <c r="D156" s="11" t="n">
        <f aca="false">IFERROR(__xludf.dummyfunction("""COMPUTED_VALUE"""),43222.6566593634)</f>
        <v>43222.65666</v>
      </c>
      <c r="E156" s="27" t="n">
        <f aca="false">IF(D156="","",ROW()-53)</f>
        <v>103</v>
      </c>
    </row>
    <row r="157" customFormat="false" ht="15.75" hidden="false" customHeight="false" outlineLevel="0" collapsed="false">
      <c r="A157" s="11"/>
      <c r="B157" s="27" t="str">
        <f aca="false">IF(A157="","",ROW()-53)</f>
        <v/>
      </c>
      <c r="D157" s="11" t="n">
        <f aca="false">IFERROR(__xludf.dummyfunction("""COMPUTED_VALUE"""),43222.7747455903)</f>
        <v>43222.77475</v>
      </c>
      <c r="E157" s="27" t="n">
        <f aca="false">IF(D157="","",ROW()-53)</f>
        <v>104</v>
      </c>
    </row>
    <row r="158" customFormat="false" ht="15.75" hidden="false" customHeight="false" outlineLevel="0" collapsed="false">
      <c r="A158" s="11"/>
      <c r="B158" s="27" t="str">
        <f aca="false">IF(A158="","",ROW()-53)</f>
        <v/>
      </c>
      <c r="D158" s="11" t="n">
        <f aca="false">IFERROR(__xludf.dummyfunction("""COMPUTED_VALUE"""),43223.536213125)</f>
        <v>43223.53621</v>
      </c>
      <c r="E158" s="27" t="n">
        <f aca="false">IF(D158="","",ROW()-53)</f>
        <v>105</v>
      </c>
    </row>
    <row r="159" customFormat="false" ht="15.75" hidden="false" customHeight="false" outlineLevel="0" collapsed="false">
      <c r="A159" s="11"/>
      <c r="B159" s="27" t="str">
        <f aca="false">IF(A159="","",ROW()-53)</f>
        <v/>
      </c>
      <c r="D159" s="11" t="n">
        <f aca="false">IFERROR(__xludf.dummyfunction("""COMPUTED_VALUE"""),43223.7215397222)</f>
        <v>43223.72154</v>
      </c>
      <c r="E159" s="27" t="n">
        <f aca="false">IF(D159="","",ROW()-53)</f>
        <v>106</v>
      </c>
    </row>
    <row r="160" customFormat="false" ht="15.75" hidden="false" customHeight="false" outlineLevel="0" collapsed="false">
      <c r="A160" s="11"/>
      <c r="B160" s="27" t="str">
        <f aca="false">IF(A160="","",ROW()-53)</f>
        <v/>
      </c>
      <c r="D160" s="11" t="n">
        <f aca="false">IFERROR(__xludf.dummyfunction("""COMPUTED_VALUE"""),43223.7379862731)</f>
        <v>43223.73799</v>
      </c>
      <c r="E160" s="27" t="n">
        <f aca="false">IF(D160="","",ROW()-53)</f>
        <v>107</v>
      </c>
    </row>
    <row r="161" customFormat="false" ht="15.75" hidden="false" customHeight="false" outlineLevel="0" collapsed="false">
      <c r="A161" s="11"/>
      <c r="B161" s="27" t="str">
        <f aca="false">IF(A161="","",ROW()-53)</f>
        <v/>
      </c>
      <c r="D161" s="11" t="n">
        <f aca="false">IFERROR(__xludf.dummyfunction("""COMPUTED_VALUE"""),43223.7421923032)</f>
        <v>43223.74219</v>
      </c>
      <c r="E161" s="27" t="n">
        <f aca="false">IF(D161="","",ROW()-53)</f>
        <v>108</v>
      </c>
    </row>
    <row r="162" customFormat="false" ht="15.75" hidden="false" customHeight="false" outlineLevel="0" collapsed="false">
      <c r="A162" s="11"/>
      <c r="B162" s="27" t="str">
        <f aca="false">IF(A162="","",ROW()-53)</f>
        <v/>
      </c>
      <c r="D162" s="11" t="n">
        <f aca="false">IFERROR(__xludf.dummyfunction("""COMPUTED_VALUE"""),43223.7547053009)</f>
        <v>43223.75471</v>
      </c>
      <c r="E162" s="27" t="n">
        <f aca="false">IF(D162="","",ROW()-53)</f>
        <v>109</v>
      </c>
    </row>
    <row r="163" customFormat="false" ht="15.75" hidden="false" customHeight="false" outlineLevel="0" collapsed="false">
      <c r="A163" s="11"/>
      <c r="B163" s="27" t="str">
        <f aca="false">IF(A163="","",ROW()-53)</f>
        <v/>
      </c>
      <c r="D163" s="11" t="n">
        <f aca="false">IFERROR(__xludf.dummyfunction("""COMPUTED_VALUE"""),43223.7593068056)</f>
        <v>43223.75931</v>
      </c>
      <c r="E163" s="27" t="n">
        <f aca="false">IF(D163="","",ROW()-53)</f>
        <v>110</v>
      </c>
    </row>
    <row r="164" customFormat="false" ht="15.75" hidden="false" customHeight="false" outlineLevel="0" collapsed="false">
      <c r="A164" s="11"/>
      <c r="B164" s="27" t="str">
        <f aca="false">IF(A164="","",ROW()-53)</f>
        <v/>
      </c>
      <c r="D164" s="11" t="n">
        <f aca="false">IFERROR(__xludf.dummyfunction("""COMPUTED_VALUE"""),43223.7625038657)</f>
        <v>43223.7625</v>
      </c>
      <c r="E164" s="27" t="n">
        <f aca="false">IF(D164="","",ROW()-53)</f>
        <v>111</v>
      </c>
    </row>
    <row r="165" customFormat="false" ht="15.75" hidden="false" customHeight="false" outlineLevel="0" collapsed="false">
      <c r="A165" s="11"/>
      <c r="B165" s="27" t="str">
        <f aca="false">IF(A165="","",ROW()-53)</f>
        <v/>
      </c>
      <c r="D165" s="11" t="n">
        <f aca="false">IFERROR(__xludf.dummyfunction("""COMPUTED_VALUE"""),43223.7627728241)</f>
        <v>43223.76277</v>
      </c>
      <c r="E165" s="27" t="n">
        <f aca="false">IF(D165="","",ROW()-53)</f>
        <v>112</v>
      </c>
    </row>
    <row r="166" customFormat="false" ht="15.75" hidden="false" customHeight="false" outlineLevel="0" collapsed="false">
      <c r="A166" s="11"/>
      <c r="B166" s="27" t="str">
        <f aca="false">IF(A166="","",ROW()-53)</f>
        <v/>
      </c>
      <c r="D166" s="11" t="n">
        <f aca="false">IFERROR(__xludf.dummyfunction("""COMPUTED_VALUE"""),43223.7632475232)</f>
        <v>43223.76325</v>
      </c>
      <c r="E166" s="27" t="n">
        <f aca="false">IF(D166="","",ROW()-53)</f>
        <v>113</v>
      </c>
    </row>
    <row r="167" customFormat="false" ht="15.75" hidden="false" customHeight="false" outlineLevel="0" collapsed="false">
      <c r="A167" s="11"/>
      <c r="B167" s="27" t="str">
        <f aca="false">IF(A167="","",ROW()-53)</f>
        <v/>
      </c>
      <c r="D167" s="11" t="n">
        <f aca="false">IFERROR(__xludf.dummyfunction("""COMPUTED_VALUE"""),43223.776583588)</f>
        <v>43223.77658</v>
      </c>
      <c r="E167" s="27" t="n">
        <f aca="false">IF(D167="","",ROW()-53)</f>
        <v>114</v>
      </c>
    </row>
    <row r="168" customFormat="false" ht="15.75" hidden="false" customHeight="false" outlineLevel="0" collapsed="false">
      <c r="A168" s="11"/>
      <c r="B168" s="27" t="str">
        <f aca="false">IF(A168="","",ROW()-53)</f>
        <v/>
      </c>
      <c r="D168" s="11" t="n">
        <f aca="false">IFERROR(__xludf.dummyfunction("""COMPUTED_VALUE"""),43223.7834150579)</f>
        <v>43223.78342</v>
      </c>
      <c r="E168" s="27" t="n">
        <f aca="false">IF(D168="","",ROW()-53)</f>
        <v>115</v>
      </c>
    </row>
    <row r="169" customFormat="false" ht="15.75" hidden="false" customHeight="false" outlineLevel="0" collapsed="false">
      <c r="A169" s="11"/>
      <c r="B169" s="27" t="str">
        <f aca="false">IF(A169="","",ROW()-53)</f>
        <v/>
      </c>
      <c r="D169" s="11" t="n">
        <f aca="false">IFERROR(__xludf.dummyfunction("""COMPUTED_VALUE"""),43223.7955093056)</f>
        <v>43223.79551</v>
      </c>
      <c r="E169" s="27" t="n">
        <f aca="false">IF(D169="","",ROW()-53)</f>
        <v>116</v>
      </c>
    </row>
    <row r="170" customFormat="false" ht="15.75" hidden="false" customHeight="false" outlineLevel="0" collapsed="false">
      <c r="A170" s="11"/>
      <c r="B170" s="27" t="str">
        <f aca="false">IF(A170="","",ROW()-53)</f>
        <v/>
      </c>
      <c r="D170" s="11" t="n">
        <f aca="false">IFERROR(__xludf.dummyfunction("""COMPUTED_VALUE"""),43223.8218535764)</f>
        <v>43223.82185</v>
      </c>
      <c r="E170" s="27" t="n">
        <f aca="false">IF(D170="","",ROW()-53)</f>
        <v>117</v>
      </c>
    </row>
    <row r="171" customFormat="false" ht="15.75" hidden="false" customHeight="false" outlineLevel="0" collapsed="false">
      <c r="A171" s="11"/>
      <c r="B171" s="27" t="str">
        <f aca="false">IF(A171="","",ROW()-53)</f>
        <v/>
      </c>
      <c r="D171" s="11" t="n">
        <f aca="false">IFERROR(__xludf.dummyfunction("""COMPUTED_VALUE"""),43223.8547573264)</f>
        <v>43223.85476</v>
      </c>
      <c r="E171" s="27" t="n">
        <f aca="false">IF(D171="","",ROW()-53)</f>
        <v>118</v>
      </c>
    </row>
    <row r="172" customFormat="false" ht="15.75" hidden="false" customHeight="false" outlineLevel="0" collapsed="false">
      <c r="A172" s="11"/>
      <c r="B172" s="27" t="str">
        <f aca="false">IF(A172="","",ROW()-53)</f>
        <v/>
      </c>
      <c r="D172" s="11" t="n">
        <f aca="false">IFERROR(__xludf.dummyfunction("""COMPUTED_VALUE"""),43224.2159192708)</f>
        <v>43224.21592</v>
      </c>
      <c r="E172" s="27" t="n">
        <f aca="false">IF(D172="","",ROW()-53)</f>
        <v>119</v>
      </c>
    </row>
    <row r="173" customFormat="false" ht="15.75" hidden="false" customHeight="false" outlineLevel="0" collapsed="false">
      <c r="A173" s="11"/>
      <c r="B173" s="27" t="str">
        <f aca="false">IF(A173="","",ROW()-53)</f>
        <v/>
      </c>
      <c r="D173" s="11" t="n">
        <f aca="false">IFERROR(__xludf.dummyfunction("""COMPUTED_VALUE"""),43224.4855982523)</f>
        <v>43224.4856</v>
      </c>
      <c r="E173" s="27" t="n">
        <f aca="false">IF(D173="","",ROW()-53)</f>
        <v>120</v>
      </c>
    </row>
    <row r="174" customFormat="false" ht="15.75" hidden="false" customHeight="false" outlineLevel="0" collapsed="false">
      <c r="A174" s="11"/>
      <c r="B174" s="27" t="str">
        <f aca="false">IF(A174="","",ROW()-53)</f>
        <v/>
      </c>
      <c r="D174" s="11" t="n">
        <f aca="false">IFERROR(__xludf.dummyfunction("""COMPUTED_VALUE"""),43224.5432494329)</f>
        <v>43224.54325</v>
      </c>
      <c r="E174" s="27" t="n">
        <f aca="false">IF(D174="","",ROW()-53)</f>
        <v>121</v>
      </c>
    </row>
    <row r="175" customFormat="false" ht="15.75" hidden="false" customHeight="false" outlineLevel="0" collapsed="false">
      <c r="A175" s="11"/>
      <c r="B175" s="27" t="str">
        <f aca="false">IF(A175="","",ROW()-53)</f>
        <v/>
      </c>
      <c r="D175" s="11" t="n">
        <f aca="false">IFERROR(__xludf.dummyfunction("""COMPUTED_VALUE"""),43224.6667437037)</f>
        <v>43224.66674</v>
      </c>
      <c r="E175" s="27" t="n">
        <f aca="false">IF(D175="","",ROW()-53)</f>
        <v>122</v>
      </c>
    </row>
    <row r="176" customFormat="false" ht="15.75" hidden="false" customHeight="false" outlineLevel="0" collapsed="false">
      <c r="A176" s="11"/>
      <c r="B176" s="27" t="str">
        <f aca="false">IF(A176="","",ROW()-53)</f>
        <v/>
      </c>
      <c r="D176" s="11" t="n">
        <f aca="false">IFERROR(__xludf.dummyfunction("""COMPUTED_VALUE"""),43224.7782697222)</f>
        <v>43224.77827</v>
      </c>
      <c r="E176" s="27" t="n">
        <f aca="false">IF(D176="","",ROW()-53)</f>
        <v>123</v>
      </c>
    </row>
    <row r="177" customFormat="false" ht="15.75" hidden="false" customHeight="false" outlineLevel="0" collapsed="false">
      <c r="A177" s="11"/>
      <c r="B177" s="27" t="str">
        <f aca="false">IF(A177="","",ROW()-53)</f>
        <v/>
      </c>
      <c r="D177" s="11" t="n">
        <f aca="false">IFERROR(__xludf.dummyfunction("""COMPUTED_VALUE"""),43225.515662581)</f>
        <v>43225.51566</v>
      </c>
      <c r="E177" s="27" t="n">
        <f aca="false">IF(D177="","",ROW()-53)</f>
        <v>124</v>
      </c>
    </row>
    <row r="178" customFormat="false" ht="15.75" hidden="false" customHeight="false" outlineLevel="0" collapsed="false">
      <c r="A178" s="11"/>
      <c r="B178" s="27" t="str">
        <f aca="false">IF(A178="","",ROW()-53)</f>
        <v/>
      </c>
      <c r="D178" s="11" t="n">
        <f aca="false">IFERROR(__xludf.dummyfunction("""COMPUTED_VALUE"""),43225.5176483102)</f>
        <v>43225.51765</v>
      </c>
      <c r="E178" s="27" t="n">
        <f aca="false">IF(D178="","",ROW()-53)</f>
        <v>125</v>
      </c>
    </row>
    <row r="179" customFormat="false" ht="15.75" hidden="false" customHeight="false" outlineLevel="0" collapsed="false">
      <c r="A179" s="11"/>
      <c r="B179" s="27" t="str">
        <f aca="false">IF(A179="","",ROW()-53)</f>
        <v/>
      </c>
      <c r="D179" s="11" t="n">
        <f aca="false">IFERROR(__xludf.dummyfunction("""COMPUTED_VALUE"""),43225.6665562616)</f>
        <v>43225.66656</v>
      </c>
      <c r="E179" s="27" t="n">
        <f aca="false">IF(D179="","",ROW()-53)</f>
        <v>126</v>
      </c>
    </row>
    <row r="180" customFormat="false" ht="15.75" hidden="false" customHeight="false" outlineLevel="0" collapsed="false">
      <c r="A180" s="11"/>
      <c r="B180" s="27" t="str">
        <f aca="false">IF(A180="","",ROW()-53)</f>
        <v/>
      </c>
      <c r="D180" s="11" t="n">
        <f aca="false">IFERROR(__xludf.dummyfunction("""COMPUTED_VALUE"""),43225.7389727894)</f>
        <v>43225.73897</v>
      </c>
      <c r="E180" s="27" t="n">
        <f aca="false">IF(D180="","",ROW()-53)</f>
        <v>127</v>
      </c>
    </row>
    <row r="181" customFormat="false" ht="15.75" hidden="false" customHeight="false" outlineLevel="0" collapsed="false">
      <c r="A181" s="11"/>
      <c r="B181" s="27" t="str">
        <f aca="false">IF(A181="","",ROW()-53)</f>
        <v/>
      </c>
      <c r="D181" s="11" t="n">
        <f aca="false">IFERROR(__xludf.dummyfunction("""COMPUTED_VALUE"""),43226.4241093287)</f>
        <v>43226.42411</v>
      </c>
      <c r="E181" s="27" t="n">
        <f aca="false">IF(D181="","",ROW()-53)</f>
        <v>128</v>
      </c>
    </row>
    <row r="182" customFormat="false" ht="15.75" hidden="false" customHeight="false" outlineLevel="0" collapsed="false">
      <c r="A182" s="11"/>
      <c r="B182" s="27" t="str">
        <f aca="false">IF(A182="","",ROW()-53)</f>
        <v/>
      </c>
      <c r="D182" s="11" t="n">
        <f aca="false">IFERROR(__xludf.dummyfunction("""COMPUTED_VALUE"""),43226.5020398264)</f>
        <v>43226.50204</v>
      </c>
      <c r="E182" s="27" t="n">
        <f aca="false">IF(D182="","",ROW()-53)</f>
        <v>129</v>
      </c>
    </row>
    <row r="183" customFormat="false" ht="15.75" hidden="false" customHeight="false" outlineLevel="0" collapsed="false">
      <c r="A183" s="11"/>
      <c r="B183" s="27" t="str">
        <f aca="false">IF(A183="","",ROW()-53)</f>
        <v/>
      </c>
      <c r="D183" s="11" t="n">
        <f aca="false">IFERROR(__xludf.dummyfunction("""COMPUTED_VALUE"""),43226.5960114815)</f>
        <v>43226.59601</v>
      </c>
      <c r="E183" s="27" t="n">
        <f aca="false">IF(D183="","",ROW()-53)</f>
        <v>130</v>
      </c>
    </row>
    <row r="184" customFormat="false" ht="15.75" hidden="false" customHeight="false" outlineLevel="0" collapsed="false">
      <c r="A184" s="11"/>
      <c r="B184" s="27" t="str">
        <f aca="false">IF(A184="","",ROW()-53)</f>
        <v/>
      </c>
      <c r="D184" s="11" t="n">
        <f aca="false">IFERROR(__xludf.dummyfunction("""COMPUTED_VALUE"""),43226.7282629051)</f>
        <v>43226.72826</v>
      </c>
      <c r="E184" s="27" t="n">
        <f aca="false">IF(D184="","",ROW()-53)</f>
        <v>131</v>
      </c>
    </row>
    <row r="185" customFormat="false" ht="15.75" hidden="false" customHeight="false" outlineLevel="0" collapsed="false">
      <c r="A185" s="11"/>
      <c r="B185" s="27" t="str">
        <f aca="false">IF(A185="","",ROW()-53)</f>
        <v/>
      </c>
      <c r="D185" s="11" t="n">
        <f aca="false">IFERROR(__xludf.dummyfunction("""COMPUTED_VALUE"""),43226.7551663426)</f>
        <v>43226.75517</v>
      </c>
      <c r="E185" s="27" t="n">
        <f aca="false">IF(D185="","",ROW()-53)</f>
        <v>132</v>
      </c>
    </row>
    <row r="186" customFormat="false" ht="15.75" hidden="false" customHeight="false" outlineLevel="0" collapsed="false">
      <c r="A186" s="11"/>
      <c r="B186" s="27" t="str">
        <f aca="false">IF(A186="","",ROW()-53)</f>
        <v/>
      </c>
      <c r="D186" s="11" t="n">
        <f aca="false">IFERROR(__xludf.dummyfunction("""COMPUTED_VALUE"""),43226.7704610764)</f>
        <v>43226.77046</v>
      </c>
      <c r="E186" s="27" t="n">
        <f aca="false">IF(D186="","",ROW()-53)</f>
        <v>133</v>
      </c>
    </row>
    <row r="187" customFormat="false" ht="15.75" hidden="false" customHeight="false" outlineLevel="0" collapsed="false">
      <c r="A187" s="11"/>
      <c r="B187" s="27" t="str">
        <f aca="false">IF(A187="","",ROW()-53)</f>
        <v/>
      </c>
      <c r="D187" s="11" t="n">
        <f aca="false">IFERROR(__xludf.dummyfunction("""COMPUTED_VALUE"""),43226.7720581134)</f>
        <v>43226.77206</v>
      </c>
      <c r="E187" s="27" t="n">
        <f aca="false">IF(D187="","",ROW()-53)</f>
        <v>134</v>
      </c>
    </row>
    <row r="188" customFormat="false" ht="15.75" hidden="false" customHeight="false" outlineLevel="0" collapsed="false">
      <c r="A188" s="11"/>
      <c r="B188" s="27" t="str">
        <f aca="false">IF(A188="","",ROW()-53)</f>
        <v/>
      </c>
      <c r="D188" s="11" t="n">
        <f aca="false">IFERROR(__xludf.dummyfunction("""COMPUTED_VALUE"""),43227.4966585764)</f>
        <v>43227.49666</v>
      </c>
      <c r="E188" s="27" t="n">
        <f aca="false">IF(D188="","",ROW()-53)</f>
        <v>135</v>
      </c>
    </row>
    <row r="189" customFormat="false" ht="15.75" hidden="false" customHeight="false" outlineLevel="0" collapsed="false">
      <c r="A189" s="11"/>
      <c r="B189" s="27" t="str">
        <f aca="false">IF(A189="","",ROW()-53)</f>
        <v/>
      </c>
      <c r="D189" s="11" t="n">
        <f aca="false">IFERROR(__xludf.dummyfunction("""COMPUTED_VALUE"""),43227.5463791782)</f>
        <v>43227.54638</v>
      </c>
      <c r="E189" s="27" t="n">
        <f aca="false">IF(D189="","",ROW()-53)</f>
        <v>136</v>
      </c>
    </row>
    <row r="190" customFormat="false" ht="15.75" hidden="false" customHeight="false" outlineLevel="0" collapsed="false">
      <c r="A190" s="11"/>
      <c r="B190" s="27" t="str">
        <f aca="false">IF(A190="","",ROW()-53)</f>
        <v/>
      </c>
      <c r="D190" s="11" t="n">
        <f aca="false">IFERROR(__xludf.dummyfunction("""COMPUTED_VALUE"""),43227.6171484259)</f>
        <v>43227.61715</v>
      </c>
      <c r="E190" s="27" t="n">
        <f aca="false">IF(D190="","",ROW()-53)</f>
        <v>137</v>
      </c>
    </row>
    <row r="191" customFormat="false" ht="15.75" hidden="false" customHeight="false" outlineLevel="0" collapsed="false">
      <c r="A191" s="11"/>
      <c r="B191" s="27" t="str">
        <f aca="false">IF(A191="","",ROW()-53)</f>
        <v/>
      </c>
      <c r="D191" s="11" t="n">
        <f aca="false">IFERROR(__xludf.dummyfunction("""COMPUTED_VALUE"""),43227.6227551736)</f>
        <v>43227.62276</v>
      </c>
      <c r="E191" s="27" t="n">
        <f aca="false">IF(D191="","",ROW()-53)</f>
        <v>138</v>
      </c>
    </row>
    <row r="192" customFormat="false" ht="15.75" hidden="false" customHeight="false" outlineLevel="0" collapsed="false">
      <c r="A192" s="11"/>
      <c r="B192" s="27" t="str">
        <f aca="false">IF(A192="","",ROW()-53)</f>
        <v/>
      </c>
      <c r="D192" s="11" t="n">
        <f aca="false">IFERROR(__xludf.dummyfunction("""COMPUTED_VALUE"""),43227.6658950463)</f>
        <v>43227.6659</v>
      </c>
      <c r="E192" s="27" t="n">
        <f aca="false">IF(D192="","",ROW()-53)</f>
        <v>139</v>
      </c>
    </row>
    <row r="193" customFormat="false" ht="15.75" hidden="false" customHeight="false" outlineLevel="0" collapsed="false">
      <c r="A193" s="11"/>
      <c r="B193" s="27" t="str">
        <f aca="false">IF(A193="","",ROW()-53)</f>
        <v/>
      </c>
      <c r="D193" s="11" t="n">
        <f aca="false">IFERROR(__xludf.dummyfunction("""COMPUTED_VALUE"""),43227.7043800695)</f>
        <v>43227.70438</v>
      </c>
      <c r="E193" s="27" t="n">
        <f aca="false">IF(D193="","",ROW()-53)</f>
        <v>140</v>
      </c>
    </row>
    <row r="194" customFormat="false" ht="15.75" hidden="false" customHeight="false" outlineLevel="0" collapsed="false">
      <c r="A194" s="11"/>
      <c r="B194" s="27" t="str">
        <f aca="false">IF(A194="","",ROW()-53)</f>
        <v/>
      </c>
      <c r="D194" s="11" t="n">
        <f aca="false">IFERROR(__xludf.dummyfunction("""COMPUTED_VALUE"""),43227.7082518056)</f>
        <v>43227.70825</v>
      </c>
      <c r="E194" s="27" t="n">
        <f aca="false">IF(D194="","",ROW()-53)</f>
        <v>141</v>
      </c>
    </row>
    <row r="195" customFormat="false" ht="15.75" hidden="false" customHeight="false" outlineLevel="0" collapsed="false">
      <c r="A195" s="11"/>
      <c r="B195" s="27" t="str">
        <f aca="false">IF(A195="","",ROW()-53)</f>
        <v/>
      </c>
      <c r="D195" s="11" t="n">
        <f aca="false">IFERROR(__xludf.dummyfunction("""COMPUTED_VALUE"""),43227.7822928357)</f>
        <v>43227.78229</v>
      </c>
      <c r="E195" s="27" t="n">
        <f aca="false">IF(D195="","",ROW()-53)</f>
        <v>142</v>
      </c>
    </row>
    <row r="196" customFormat="false" ht="15.75" hidden="false" customHeight="false" outlineLevel="0" collapsed="false">
      <c r="A196" s="11"/>
      <c r="B196" s="27" t="str">
        <f aca="false">IF(A196="","",ROW()-53)</f>
        <v/>
      </c>
      <c r="D196" s="11" t="n">
        <f aca="false">IFERROR(__xludf.dummyfunction("""COMPUTED_VALUE"""),43227.8281731019)</f>
        <v>43227.82817</v>
      </c>
      <c r="E196" s="27" t="n">
        <f aca="false">IF(D196="","",ROW()-53)</f>
        <v>143</v>
      </c>
    </row>
    <row r="197" customFormat="false" ht="15.75" hidden="false" customHeight="false" outlineLevel="0" collapsed="false">
      <c r="A197" s="11"/>
      <c r="B197" s="27" t="str">
        <f aca="false">IF(A197="","",ROW()-53)</f>
        <v/>
      </c>
      <c r="D197" s="11" t="n">
        <f aca="false">IFERROR(__xludf.dummyfunction("""COMPUTED_VALUE"""),43227.8903909144)</f>
        <v>43227.89039</v>
      </c>
      <c r="E197" s="27" t="n">
        <f aca="false">IF(D197="","",ROW()-53)</f>
        <v>144</v>
      </c>
    </row>
    <row r="198" customFormat="false" ht="15.75" hidden="false" customHeight="false" outlineLevel="0" collapsed="false">
      <c r="A198" s="11"/>
      <c r="B198" s="27" t="str">
        <f aca="false">IF(A198="","",ROW()-53)</f>
        <v/>
      </c>
      <c r="D198" s="11" t="n">
        <f aca="false">IFERROR(__xludf.dummyfunction("""COMPUTED_VALUE"""),43228.5591053588)</f>
        <v>43228.55911</v>
      </c>
      <c r="E198" s="27" t="n">
        <f aca="false">IF(D198="","",ROW()-53)</f>
        <v>145</v>
      </c>
    </row>
    <row r="199" customFormat="false" ht="15.75" hidden="false" customHeight="false" outlineLevel="0" collapsed="false">
      <c r="A199" s="11"/>
      <c r="B199" s="27" t="str">
        <f aca="false">IF(A199="","",ROW()-53)</f>
        <v/>
      </c>
      <c r="D199" s="11" t="n">
        <f aca="false">IFERROR(__xludf.dummyfunction("""COMPUTED_VALUE"""),43228.6803176505)</f>
        <v>43228.68032</v>
      </c>
      <c r="E199" s="27" t="n">
        <f aca="false">IF(D199="","",ROW()-53)</f>
        <v>146</v>
      </c>
    </row>
    <row r="200" customFormat="false" ht="15.75" hidden="false" customHeight="false" outlineLevel="0" collapsed="false">
      <c r="A200" s="11"/>
      <c r="B200" s="27" t="str">
        <f aca="false">IF(A200="","",ROW()-53)</f>
        <v/>
      </c>
      <c r="D200" s="11" t="n">
        <f aca="false">IFERROR(__xludf.dummyfunction("""COMPUTED_VALUE"""),43228.7277380671)</f>
        <v>43228.72774</v>
      </c>
      <c r="E200" s="27" t="n">
        <f aca="false">IF(D200="","",ROW()-53)</f>
        <v>147</v>
      </c>
    </row>
    <row r="201" customFormat="false" ht="15.75" hidden="false" customHeight="false" outlineLevel="0" collapsed="false">
      <c r="A201" s="11"/>
      <c r="B201" s="27" t="str">
        <f aca="false">IF(A201="","",ROW()-53)</f>
        <v/>
      </c>
      <c r="D201" s="11" t="n">
        <f aca="false">IFERROR(__xludf.dummyfunction("""COMPUTED_VALUE"""),43228.8336673148)</f>
        <v>43228.83367</v>
      </c>
      <c r="E201" s="27" t="n">
        <f aca="false">IF(D201="","",ROW()-53)</f>
        <v>148</v>
      </c>
    </row>
    <row r="202" customFormat="false" ht="15.75" hidden="false" customHeight="false" outlineLevel="0" collapsed="false">
      <c r="A202" s="11"/>
      <c r="B202" s="27" t="str">
        <f aca="false">IF(A202="","",ROW()-53)</f>
        <v/>
      </c>
      <c r="D202" s="11" t="n">
        <f aca="false">IFERROR(__xludf.dummyfunction("""COMPUTED_VALUE"""),43229.3430317593)</f>
        <v>43229.34303</v>
      </c>
      <c r="E202" s="27" t="n">
        <f aca="false">IF(D202="","",ROW()-53)</f>
        <v>149</v>
      </c>
    </row>
    <row r="203" customFormat="false" ht="15.75" hidden="false" customHeight="false" outlineLevel="0" collapsed="false">
      <c r="A203" s="11"/>
      <c r="B203" s="27" t="str">
        <f aca="false">IF(A203="","",ROW()-53)</f>
        <v/>
      </c>
      <c r="D203" s="11" t="n">
        <f aca="false">IFERROR(__xludf.dummyfunction("""COMPUTED_VALUE"""),43229.5072433333)</f>
        <v>43229.50724</v>
      </c>
      <c r="E203" s="27" t="n">
        <f aca="false">IF(D203="","",ROW()-53)</f>
        <v>150</v>
      </c>
    </row>
    <row r="204" customFormat="false" ht="15.75" hidden="false" customHeight="false" outlineLevel="0" collapsed="false">
      <c r="A204" s="11"/>
      <c r="B204" s="27" t="str">
        <f aca="false">IF(A204="","",ROW()-53)</f>
        <v/>
      </c>
      <c r="D204" s="11" t="n">
        <f aca="false">IFERROR(__xludf.dummyfunction("""COMPUTED_VALUE"""),43239.5072453704)</f>
        <v>43239.50725</v>
      </c>
      <c r="E204" s="27" t="n">
        <f aca="false">IF(D204="","",ROW()-53)</f>
        <v>151</v>
      </c>
    </row>
    <row r="205" customFormat="false" ht="15.75" hidden="false" customHeight="false" outlineLevel="0" collapsed="false">
      <c r="A205" s="11"/>
      <c r="B205" s="27" t="str">
        <f aca="false">IF(A205="","",ROW()-53)</f>
        <v/>
      </c>
      <c r="E205" s="27" t="str">
        <f aca="false">IF(D205="","",ROW()-53)</f>
        <v/>
      </c>
    </row>
    <row r="206" customFormat="false" ht="15.75" hidden="false" customHeight="false" outlineLevel="0" collapsed="false">
      <c r="A206" s="11"/>
      <c r="B206" s="27" t="str">
        <f aca="false">IF(A206="","",ROW()-53)</f>
        <v/>
      </c>
      <c r="E206" s="27" t="str">
        <f aca="false">IF(D206="","",ROW()-53)</f>
        <v/>
      </c>
    </row>
    <row r="207" customFormat="false" ht="15.75" hidden="false" customHeight="false" outlineLevel="0" collapsed="false">
      <c r="A207" s="11"/>
      <c r="B207" s="27" t="str">
        <f aca="false">IF(A207="","",ROW()-53)</f>
        <v/>
      </c>
      <c r="E207" s="27" t="str">
        <f aca="false">IF(D207="","",ROW()-53)</f>
        <v/>
      </c>
    </row>
    <row r="208" customFormat="false" ht="15.75" hidden="false" customHeight="false" outlineLevel="0" collapsed="false">
      <c r="A208" s="11"/>
      <c r="B208" s="27" t="str">
        <f aca="false">IF(A208="","",ROW()-53)</f>
        <v/>
      </c>
      <c r="E208" s="27" t="str">
        <f aca="false">IF(D208="","",ROW()-53)</f>
        <v/>
      </c>
    </row>
    <row r="209" customFormat="false" ht="15.75" hidden="false" customHeight="false" outlineLevel="0" collapsed="false">
      <c r="A209" s="11"/>
      <c r="B209" s="27" t="str">
        <f aca="false">IF(A209="","",ROW()-53)</f>
        <v/>
      </c>
      <c r="E209" s="27" t="str">
        <f aca="false">IF(D209="","",ROW()-53)</f>
        <v/>
      </c>
    </row>
    <row r="210" customFormat="false" ht="15.75" hidden="false" customHeight="false" outlineLevel="0" collapsed="false">
      <c r="A210" s="11"/>
      <c r="B210" s="27" t="str">
        <f aca="false">IF(A210="","",ROW()-53)</f>
        <v/>
      </c>
      <c r="E210" s="27" t="str">
        <f aca="false">IF(D210="","",ROW()-53)</f>
        <v/>
      </c>
    </row>
    <row r="211" customFormat="false" ht="15.75" hidden="false" customHeight="false" outlineLevel="0" collapsed="false">
      <c r="A211" s="11"/>
      <c r="B211" s="27" t="str">
        <f aca="false">IF(A211="","",ROW()-53)</f>
        <v/>
      </c>
      <c r="E211" s="27" t="str">
        <f aca="false">IF(D211="","",ROW()-53)</f>
        <v/>
      </c>
    </row>
    <row r="212" customFormat="false" ht="15.75" hidden="false" customHeight="false" outlineLevel="0" collapsed="false">
      <c r="A212" s="11"/>
      <c r="B212" s="27" t="str">
        <f aca="false">IF(A212="","",ROW()-53)</f>
        <v/>
      </c>
      <c r="E212" s="27" t="str">
        <f aca="false">IF(D212="","",ROW()-53)</f>
        <v/>
      </c>
    </row>
    <row r="213" customFormat="false" ht="15.75" hidden="false" customHeight="false" outlineLevel="0" collapsed="false">
      <c r="A213" s="11"/>
      <c r="B213" s="27" t="str">
        <f aca="false">IF(A213="","",ROW()-53)</f>
        <v/>
      </c>
      <c r="E213" s="27" t="str">
        <f aca="false">IF(D213="","",ROW()-53)</f>
        <v/>
      </c>
    </row>
    <row r="214" customFormat="false" ht="15.75" hidden="false" customHeight="false" outlineLevel="0" collapsed="false">
      <c r="A214" s="11"/>
      <c r="B214" s="27" t="str">
        <f aca="false">IF(A214="","",ROW()-53)</f>
        <v/>
      </c>
      <c r="E214" s="27" t="str">
        <f aca="false">IF(D214="","",ROW()-53)</f>
        <v/>
      </c>
    </row>
    <row r="215" customFormat="false" ht="15.75" hidden="false" customHeight="false" outlineLevel="0" collapsed="false">
      <c r="A215" s="11"/>
      <c r="B215" s="27" t="str">
        <f aca="false">IF(A215="","",ROW()-53)</f>
        <v/>
      </c>
      <c r="E215" s="27" t="str">
        <f aca="false">IF(D215="","",ROW()-53)</f>
        <v/>
      </c>
    </row>
    <row r="216" customFormat="false" ht="15.75" hidden="false" customHeight="false" outlineLevel="0" collapsed="false">
      <c r="A216" s="11"/>
      <c r="B216" s="27" t="str">
        <f aca="false">IF(A216="","",ROW()-53)</f>
        <v/>
      </c>
      <c r="E216" s="27" t="str">
        <f aca="false">IF(D216="","",ROW()-53)</f>
        <v/>
      </c>
    </row>
    <row r="217" customFormat="false" ht="15.75" hidden="false" customHeight="false" outlineLevel="0" collapsed="false">
      <c r="A217" s="11"/>
      <c r="B217" s="27" t="str">
        <f aca="false">IF(A217="","",ROW()-53)</f>
        <v/>
      </c>
      <c r="E217" s="27" t="str">
        <f aca="false">IF(D217="","",ROW()-53)</f>
        <v/>
      </c>
    </row>
    <row r="218" customFormat="false" ht="15.75" hidden="false" customHeight="false" outlineLevel="0" collapsed="false">
      <c r="A218" s="11"/>
      <c r="B218" s="27" t="str">
        <f aca="false">IF(A218="","",ROW()-53)</f>
        <v/>
      </c>
      <c r="E218" s="27" t="str">
        <f aca="false">IF(D218="","",ROW()-53)</f>
        <v/>
      </c>
    </row>
    <row r="219" customFormat="false" ht="15.75" hidden="false" customHeight="false" outlineLevel="0" collapsed="false">
      <c r="A219" s="11"/>
      <c r="B219" s="27" t="str">
        <f aca="false">IF(A219="","",ROW()-53)</f>
        <v/>
      </c>
      <c r="E219" s="27" t="str">
        <f aca="false">IF(D219="","",ROW()-53)</f>
        <v/>
      </c>
    </row>
    <row r="220" customFormat="false" ht="15.75" hidden="false" customHeight="false" outlineLevel="0" collapsed="false">
      <c r="A220" s="11"/>
      <c r="E220" s="27" t="str">
        <f aca="false">IF(D220="","",ROW()-53)</f>
        <v/>
      </c>
    </row>
    <row r="221" customFormat="false" ht="15.75" hidden="false" customHeight="false" outlineLevel="0" collapsed="false">
      <c r="A221" s="11"/>
      <c r="E221" s="27" t="str">
        <f aca="false">IF(D221="","",ROW()-53)</f>
        <v/>
      </c>
    </row>
    <row r="222" customFormat="false" ht="15.75" hidden="false" customHeight="false" outlineLevel="0" collapsed="false">
      <c r="A222" s="11"/>
      <c r="E222" s="27" t="str">
        <f aca="false">IF(D222="","",ROW()-53)</f>
        <v/>
      </c>
    </row>
    <row r="223" customFormat="false" ht="15.75" hidden="false" customHeight="false" outlineLevel="0" collapsed="false">
      <c r="A223" s="11"/>
      <c r="E223" s="27" t="str">
        <f aca="false">IF(D223="","",ROW()-53)</f>
        <v/>
      </c>
    </row>
    <row r="224" customFormat="false" ht="15.75" hidden="false" customHeight="false" outlineLevel="0" collapsed="false">
      <c r="A224" s="11"/>
      <c r="E224" s="27" t="str">
        <f aca="false">IF(D224="","",ROW()-53)</f>
        <v/>
      </c>
    </row>
    <row r="225" customFormat="false" ht="15.75" hidden="false" customHeight="false" outlineLevel="0" collapsed="false">
      <c r="A225" s="11"/>
      <c r="E225" s="27" t="str">
        <f aca="false">IF(D225="","",ROW()-53)</f>
        <v/>
      </c>
    </row>
    <row r="226" customFormat="false" ht="15.75" hidden="false" customHeight="false" outlineLevel="0" collapsed="false">
      <c r="A226" s="11"/>
      <c r="E226" s="27" t="str">
        <f aca="false">IF(D226="","",ROW()-53)</f>
        <v/>
      </c>
    </row>
    <row r="227" customFormat="false" ht="15.75" hidden="false" customHeight="false" outlineLevel="0" collapsed="false">
      <c r="A227" s="11"/>
      <c r="E227" s="27" t="str">
        <f aca="false">IF(D227="","",ROW()-53)</f>
        <v/>
      </c>
    </row>
    <row r="228" customFormat="false" ht="15.75" hidden="false" customHeight="false" outlineLevel="0" collapsed="false">
      <c r="A228" s="11"/>
      <c r="E228" s="27" t="str">
        <f aca="false">IF(D228="","",ROW()-53)</f>
        <v/>
      </c>
    </row>
    <row r="229" customFormat="false" ht="15.75" hidden="false" customHeight="false" outlineLevel="0" collapsed="false">
      <c r="A229" s="11"/>
      <c r="E229" s="27" t="str">
        <f aca="false">IF(D229="","",ROW()-53)</f>
        <v/>
      </c>
    </row>
    <row r="230" customFormat="false" ht="15.75" hidden="false" customHeight="false" outlineLevel="0" collapsed="false">
      <c r="A230" s="11"/>
      <c r="E230" s="27" t="str">
        <f aca="false">IF(D230="","",ROW()-53)</f>
        <v/>
      </c>
    </row>
    <row r="231" customFormat="false" ht="15.75" hidden="false" customHeight="false" outlineLevel="0" collapsed="false">
      <c r="A231" s="11"/>
      <c r="E231" s="27" t="str">
        <f aca="false">IF(D231="","",ROW()-53)</f>
        <v/>
      </c>
    </row>
    <row r="232" customFormat="false" ht="15.75" hidden="false" customHeight="false" outlineLevel="0" collapsed="false">
      <c r="A232" s="11"/>
      <c r="E232" s="27" t="str">
        <f aca="false">IF(D232="","",ROW()-53)</f>
        <v/>
      </c>
    </row>
    <row r="233" customFormat="false" ht="15.75" hidden="false" customHeight="false" outlineLevel="0" collapsed="false">
      <c r="A233" s="11"/>
      <c r="E233" s="27" t="str">
        <f aca="false">IF(D233="","",ROW()-53)</f>
        <v/>
      </c>
    </row>
    <row r="234" customFormat="false" ht="15.75" hidden="false" customHeight="false" outlineLevel="0" collapsed="false">
      <c r="A234" s="11"/>
      <c r="E234" s="27" t="str">
        <f aca="false">IF(D234="","",ROW()-53)</f>
        <v/>
      </c>
    </row>
    <row r="235" customFormat="false" ht="15.75" hidden="false" customHeight="false" outlineLevel="0" collapsed="false">
      <c r="A235" s="11"/>
      <c r="E235" s="27" t="str">
        <f aca="false">IF(D235="","",ROW()-53)</f>
        <v/>
      </c>
    </row>
    <row r="236" customFormat="false" ht="15.75" hidden="false" customHeight="false" outlineLevel="0" collapsed="false">
      <c r="A236" s="11"/>
      <c r="E236" s="27" t="str">
        <f aca="false">IF(D236="","",ROW()-53)</f>
        <v/>
      </c>
    </row>
    <row r="237" customFormat="false" ht="15.75" hidden="false" customHeight="false" outlineLevel="0" collapsed="false">
      <c r="A237" s="11"/>
      <c r="E237" s="27" t="str">
        <f aca="false">IF(D237="","",ROW()-53)</f>
        <v/>
      </c>
    </row>
    <row r="238" customFormat="false" ht="15.75" hidden="false" customHeight="false" outlineLevel="0" collapsed="false">
      <c r="A238" s="11"/>
      <c r="E238" s="27" t="str">
        <f aca="false">IF(D238="","",ROW()-53)</f>
        <v/>
      </c>
    </row>
    <row r="239" customFormat="false" ht="15.75" hidden="false" customHeight="false" outlineLevel="0" collapsed="false">
      <c r="A239" s="11"/>
      <c r="E239" s="27" t="str">
        <f aca="false">IF(D239="","",ROW()-53)</f>
        <v/>
      </c>
    </row>
    <row r="240" customFormat="false" ht="15.75" hidden="false" customHeight="false" outlineLevel="0" collapsed="false">
      <c r="A240" s="11"/>
      <c r="E240" s="27" t="str">
        <f aca="false">IF(D240="","",ROW()-53)</f>
        <v/>
      </c>
    </row>
    <row r="241" customFormat="false" ht="15.75" hidden="false" customHeight="false" outlineLevel="0" collapsed="false">
      <c r="A241" s="11"/>
      <c r="E241" s="27" t="str">
        <f aca="false">IF(D241="","",ROW()-53)</f>
        <v/>
      </c>
    </row>
    <row r="242" customFormat="false" ht="15.75" hidden="false" customHeight="false" outlineLevel="0" collapsed="false">
      <c r="A242" s="11"/>
      <c r="E242" s="27" t="str">
        <f aca="false">IF(D242="","",ROW()-53)</f>
        <v/>
      </c>
    </row>
    <row r="243" customFormat="false" ht="15.75" hidden="false" customHeight="false" outlineLevel="0" collapsed="false">
      <c r="A243" s="11"/>
      <c r="E243" s="27" t="str">
        <f aca="false">IF(D243="","",ROW()-53)</f>
        <v/>
      </c>
    </row>
    <row r="244" customFormat="false" ht="15.75" hidden="false" customHeight="false" outlineLevel="0" collapsed="false">
      <c r="A244" s="11"/>
      <c r="E244" s="27" t="str">
        <f aca="false">IF(D244="","",ROW()-53)</f>
        <v/>
      </c>
    </row>
    <row r="245" customFormat="false" ht="15.75" hidden="false" customHeight="false" outlineLevel="0" collapsed="false">
      <c r="A245" s="11"/>
      <c r="E245" s="27" t="str">
        <f aca="false">IF(D245="","",ROW()-53)</f>
        <v/>
      </c>
    </row>
    <row r="246" customFormat="false" ht="15.75" hidden="false" customHeight="false" outlineLevel="0" collapsed="false">
      <c r="A246" s="11"/>
      <c r="E246" s="27" t="str">
        <f aca="false">IF(D246="","",ROW()-53)</f>
        <v/>
      </c>
    </row>
    <row r="247" customFormat="false" ht="15.75" hidden="false" customHeight="false" outlineLevel="0" collapsed="false">
      <c r="A247" s="11"/>
      <c r="E247" s="27" t="str">
        <f aca="false">IF(D247="","",ROW()-53)</f>
        <v/>
      </c>
    </row>
    <row r="248" customFormat="false" ht="15.75" hidden="false" customHeight="false" outlineLevel="0" collapsed="false">
      <c r="A248" s="11"/>
      <c r="E248" s="27" t="str">
        <f aca="false">IF(D248="","",ROW()-53)</f>
        <v/>
      </c>
    </row>
    <row r="249" customFormat="false" ht="15.75" hidden="false" customHeight="false" outlineLevel="0" collapsed="false">
      <c r="A249" s="11"/>
      <c r="E249" s="27" t="str">
        <f aca="false">IF(D249="","",ROW()-53)</f>
        <v/>
      </c>
    </row>
    <row r="250" customFormat="false" ht="15.75" hidden="false" customHeight="false" outlineLevel="0" collapsed="false">
      <c r="A250" s="11"/>
      <c r="E250" s="27" t="str">
        <f aca="false">IF(D250="","",ROW()-53)</f>
        <v/>
      </c>
    </row>
    <row r="251" customFormat="false" ht="15.75" hidden="false" customHeight="false" outlineLevel="0" collapsed="false">
      <c r="A251" s="11"/>
      <c r="E251" s="27" t="str">
        <f aca="false">IF(D251="","",ROW()-53)</f>
        <v/>
      </c>
    </row>
    <row r="252" customFormat="false" ht="15.75" hidden="false" customHeight="false" outlineLevel="0" collapsed="false">
      <c r="A252" s="11"/>
      <c r="E252" s="27" t="str">
        <f aca="false">IF(D252="","",ROW()-53)</f>
        <v/>
      </c>
    </row>
    <row r="253" customFormat="false" ht="15.75" hidden="false" customHeight="false" outlineLevel="0" collapsed="false">
      <c r="A253" s="11"/>
      <c r="E253" s="27" t="str">
        <f aca="false">IF(D253="","",ROW()-53)</f>
        <v/>
      </c>
    </row>
    <row r="254" customFormat="false" ht="15.75" hidden="false" customHeight="false" outlineLevel="0" collapsed="false">
      <c r="A254" s="11"/>
      <c r="E254" s="27" t="str">
        <f aca="false">IF(D254="","",ROW()-53)</f>
        <v/>
      </c>
    </row>
    <row r="255" customFormat="false" ht="15.75" hidden="false" customHeight="false" outlineLevel="0" collapsed="false">
      <c r="A255" s="11"/>
    </row>
    <row r="256" customFormat="false" ht="15.75" hidden="false" customHeight="false" outlineLevel="0" collapsed="false">
      <c r="A256" s="11"/>
    </row>
    <row r="257" customFormat="false" ht="15.75" hidden="false" customHeight="false" outlineLevel="0" collapsed="false">
      <c r="A257" s="11"/>
    </row>
    <row r="258" customFormat="false" ht="15.75" hidden="false" customHeight="false" outlineLevel="0" collapsed="false">
      <c r="A258" s="11"/>
    </row>
    <row r="259" customFormat="false" ht="15.75" hidden="false" customHeight="false" outlineLevel="0" collapsed="false">
      <c r="A259" s="11"/>
    </row>
    <row r="260" customFormat="false" ht="15.75" hidden="false" customHeight="false" outlineLevel="0" collapsed="false">
      <c r="A260" s="11"/>
    </row>
    <row r="261" customFormat="false" ht="15.75" hidden="false" customHeight="false" outlineLevel="0" collapsed="false">
      <c r="A261" s="11"/>
    </row>
    <row r="262" customFormat="false" ht="15.75" hidden="false" customHeight="false" outlineLevel="0" collapsed="false">
      <c r="A262" s="11"/>
    </row>
    <row r="263" customFormat="false" ht="15.75" hidden="false" customHeight="false" outlineLevel="0" collapsed="false">
      <c r="A263" s="11"/>
    </row>
    <row r="264" customFormat="false" ht="15.75" hidden="false" customHeight="false" outlineLevel="0" collapsed="false">
      <c r="A264" s="11"/>
    </row>
    <row r="265" customFormat="false" ht="15.75" hidden="false" customHeight="false" outlineLevel="0" collapsed="false">
      <c r="A265" s="11"/>
    </row>
    <row r="266" customFormat="false" ht="15.75" hidden="false" customHeight="false" outlineLevel="0" collapsed="false">
      <c r="A266" s="11"/>
    </row>
    <row r="267" customFormat="false" ht="15.75" hidden="false" customHeight="false" outlineLevel="0" collapsed="false">
      <c r="A267" s="11"/>
    </row>
    <row r="268" customFormat="false" ht="15.75" hidden="false" customHeight="false" outlineLevel="0" collapsed="false">
      <c r="A268" s="11"/>
    </row>
    <row r="269" customFormat="false" ht="15.75" hidden="false" customHeight="false" outlineLevel="0" collapsed="false">
      <c r="A269" s="11"/>
    </row>
    <row r="270" customFormat="false" ht="15.75" hidden="false" customHeight="false" outlineLevel="0" collapsed="false">
      <c r="A270" s="11"/>
    </row>
    <row r="271" customFormat="false" ht="15.75" hidden="false" customHeight="false" outlineLevel="0" collapsed="false">
      <c r="A271" s="11"/>
    </row>
    <row r="272" customFormat="false" ht="15.75" hidden="false" customHeight="false" outlineLevel="0" collapsed="false">
      <c r="A272" s="11"/>
    </row>
    <row r="273" customFormat="false" ht="15.75" hidden="false" customHeight="false" outlineLevel="0" collapsed="false">
      <c r="A273" s="11"/>
    </row>
  </sheetData>
  <mergeCells count="1">
    <mergeCell ref="D50:H50"/>
  </mergeCells>
  <dataValidations count="4">
    <dataValidation allowBlank="true" errorStyle="stop" operator="between" showDropDown="false" showErrorMessage="false" showInputMessage="false" sqref="I52" type="list">
      <formula1>"Да,Нет"</formula1>
      <formula2>0</formula2>
    </dataValidation>
    <dataValidation allowBlank="true" errorStyle="stop" operator="between" showDropDown="false" showErrorMessage="false" showInputMessage="false" sqref="G52" type="list">
      <formula1>Статистика!$A$2:$A$13</formula1>
      <formula2>0</formula2>
    </dataValidation>
    <dataValidation allowBlank="true" errorStyle="stop" operator="between" showDropDown="false" showErrorMessage="false" showInputMessage="false" sqref="E52" type="list">
      <formula1>"7,8,9,10,11"</formula1>
      <formula2>0</formula2>
    </dataValidation>
    <dataValidation allowBlank="true" errorStyle="stop" operator="between" showDropDown="false" showErrorMessage="false" showInputMessage="false" sqref="H52" type="list">
      <formula1>Статистика!$A$14:$A$27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4" min="4" style="0" width="4.29"/>
    <col collapsed="false" customWidth="true" hidden="false" outlineLevel="0" max="5" min="5" style="0" width="4.57"/>
    <col collapsed="false" customWidth="true" hidden="false" outlineLevel="0" max="6" min="6" style="0" width="18"/>
    <col collapsed="false" customWidth="true" hidden="false" outlineLevel="0" max="11" min="11" style="0" width="9.71"/>
    <col collapsed="false" customWidth="true" hidden="false" outlineLevel="0" max="12" min="12" style="0" width="19.14"/>
    <col collapsed="false" customWidth="true" hidden="false" outlineLevel="0" max="13" min="13" style="0" width="11.99"/>
    <col collapsed="false" customWidth="true" hidden="false" outlineLevel="0" max="14" min="14" style="0" width="24.57"/>
    <col collapsed="false" customWidth="true" hidden="false" outlineLevel="0" max="15" min="15" style="0" width="3.98"/>
  </cols>
  <sheetData>
    <row r="1" customFormat="false" ht="36" hidden="false" customHeight="true" outlineLevel="0" collapsed="false">
      <c r="A1" s="19" t="s">
        <v>678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679</v>
      </c>
      <c r="H1" s="19" t="s">
        <v>7</v>
      </c>
      <c r="I1" s="19" t="s">
        <v>8</v>
      </c>
      <c r="J1" s="19" t="s">
        <v>9</v>
      </c>
      <c r="K1" s="19" t="s">
        <v>682</v>
      </c>
      <c r="L1" s="19" t="s">
        <v>683</v>
      </c>
      <c r="M1" s="19" t="s">
        <v>761</v>
      </c>
      <c r="N1" s="19" t="s">
        <v>762</v>
      </c>
    </row>
    <row r="2" customFormat="false" ht="15.75" hidden="false" customHeight="false" outlineLevel="0" collapsed="false">
      <c r="A2" s="11" t="n">
        <f aca="false">IFERROR(__xludf.dummyfunction("FILTER('Переформатированный ответ'!$A$2:$J$179,ARRAYFORMULA(('Переформатированный ответ'!$M$2:$M$179 = 0)+('Переформатированный ответ'!$M$2:$M$179 = 1) &gt; 0))"),43219.7934564005)</f>
        <v>43219.79346</v>
      </c>
      <c r="B2" s="33" t="str">
        <f aca="false">IFERROR(__xludf.dummyfunction("""COMPUTED_VALUE"""),"Александрова")</f>
        <v>Александрова</v>
      </c>
      <c r="C2" s="34" t="str">
        <f aca="false">IFERROR(__xludf.dummyfunction("""COMPUTED_VALUE"""),"Валерия")</f>
        <v>Валерия</v>
      </c>
      <c r="D2" s="34" t="n">
        <f aca="false">IFERROR(__xludf.dummyfunction("""COMPUTED_VALUE"""),11)</f>
        <v>11</v>
      </c>
      <c r="E2" s="35" t="n">
        <f aca="false">IFERROR(__xludf.dummyfunction("""COMPUTED_VALUE"""),117)</f>
        <v>117</v>
      </c>
      <c r="F2" s="34"/>
      <c r="G2" s="36" t="str">
        <f aca="false">IFERROR(__xludf.dummyfunction("""COMPUTED_VALUE"""),"vk.com/licharovski ")</f>
        <v>vk.com/licharovski</v>
      </c>
      <c r="H2" s="34" t="str">
        <f aca="false">IFERROR(__xludf.dummyfunction("""COMPUTED_VALUE"""),"licharovski@mail.ru")</f>
        <v>licharovski@mail.ru</v>
      </c>
      <c r="I2" s="34" t="str">
        <f aca="false">IFERROR(__xludf.dummyfunction("""COMPUTED_VALUE"""),"Международное право")</f>
        <v>Международное право</v>
      </c>
      <c r="J2" s="0" t="str">
        <f aca="false">IFERROR(__xludf.dummyfunction("""COMPUTED_VALUE"""),"Введение в роль элитных противостояний в истории")</f>
        <v>Введение в роль элитных противостояний в истории</v>
      </c>
      <c r="K2" s="21" t="n">
        <f aca="false">IFERROR(__xludf.dummyfunction("FILTER('Переформатированный ответ'!$M$2:$N$179,ARRAYFORMULA(('Переформатированный ответ'!$M$2:$M$179 = 0)+('Переформатированный ответ'!$M$2:$M$179 = 1) &gt; 0))"),1)</f>
        <v>1</v>
      </c>
      <c r="M2" s="1"/>
      <c r="N2" s="1"/>
      <c r="O2" s="1" t="s">
        <v>763</v>
      </c>
    </row>
    <row r="3" customFormat="false" ht="15.75" hidden="false" customHeight="false" outlineLevel="0" collapsed="false">
      <c r="A3" s="11" t="n">
        <f aca="false">IFERROR(__xludf.dummyfunction("""COMPUTED_VALUE"""),43219.8456938657)</f>
        <v>43219.84569</v>
      </c>
      <c r="B3" s="0" t="str">
        <f aca="false">IFERROR(__xludf.dummyfunction("""COMPUTED_VALUE"""),"Шмидт")</f>
        <v>Шмидт</v>
      </c>
      <c r="C3" s="0" t="str">
        <f aca="false">IFERROR(__xludf.dummyfunction("""COMPUTED_VALUE"""),"Алиса")</f>
        <v>Алиса</v>
      </c>
      <c r="D3" s="0" t="n">
        <f aca="false">IFERROR(__xludf.dummyfunction("""COMPUTED_VALUE"""),8)</f>
        <v>8</v>
      </c>
      <c r="E3" s="0" t="str">
        <f aca="false">IFERROR(__xludf.dummyfunction("""COMPUTED_VALUE"""),"Академический лицей при ОмГПУ")</f>
        <v>Академический лицей при ОмГПУ</v>
      </c>
      <c r="G3" s="12" t="str">
        <f aca="false">IFERROR(__xludf.dummyfunction("""COMPUTED_VALUE"""),"vk.com/malenkaia_esho")</f>
        <v>vk.com/malenkaia_esho</v>
      </c>
      <c r="H3" s="0" t="str">
        <f aca="false">IFERROR(__xludf.dummyfunction("""COMPUTED_VALUE"""),"aliska_shmidt@list.ru")</f>
        <v>aliska_shmidt@list.ru</v>
      </c>
      <c r="I3" s="0" t="str">
        <f aca="false">IFERROR(__xludf.dummyfunction("""COMPUTED_VALUE"""),"Социология")</f>
        <v>Социология</v>
      </c>
      <c r="J3" s="0" t="str">
        <f aca="false">IFERROR(__xludf.dummyfunction("""COMPUTED_VALUE"""),"Олимпиадная математика")</f>
        <v>Олимпиадная математика</v>
      </c>
      <c r="K3" s="0" t="n">
        <f aca="false">IFERROR(__xludf.dummyfunction("""COMPUTED_VALUE"""),1)</f>
        <v>1</v>
      </c>
      <c r="L3" s="0" t="str">
        <f aca="false">IFERROR(__xludf.dummyfunction("""COMPUTED_VALUE"""),"написал второй раз")</f>
        <v>написал второй раз</v>
      </c>
      <c r="M3" s="1"/>
      <c r="N3" s="1"/>
      <c r="O3" s="1" t="s">
        <v>763</v>
      </c>
    </row>
    <row r="4" customFormat="false" ht="15.75" hidden="false" customHeight="false" outlineLevel="0" collapsed="false">
      <c r="A4" s="11" t="n">
        <f aca="false">IFERROR(__xludf.dummyfunction("""COMPUTED_VALUE"""),43219.8735236227)</f>
        <v>43219.87352</v>
      </c>
      <c r="B4" s="0" t="str">
        <f aca="false">IFERROR(__xludf.dummyfunction("""COMPUTED_VALUE"""),"Давыдова ")</f>
        <v>Давыдова</v>
      </c>
      <c r="C4" s="0" t="str">
        <f aca="false">IFERROR(__xludf.dummyfunction("""COMPUTED_VALUE"""),"Елизавета ")</f>
        <v>Елизавета</v>
      </c>
      <c r="D4" s="0" t="n">
        <f aca="false">IFERROR(__xludf.dummyfunction("""COMPUTED_VALUE"""),7)</f>
        <v>7</v>
      </c>
      <c r="E4" s="0" t="n">
        <f aca="false">IFERROR(__xludf.dummyfunction("""COMPUTED_VALUE"""),117)</f>
        <v>117</v>
      </c>
      <c r="G4" s="0" t="str">
        <f aca="false">IFERROR(__xludf.dummyfunction("""COMPUTED_VALUE"""),"Нет")</f>
        <v>Нет</v>
      </c>
      <c r="H4" s="0" t="str">
        <f aca="false">IFERROR(__xludf.dummyfunction("""COMPUTED_VALUE"""),"irina-davidoff@mail.ru")</f>
        <v>irina-davidoff@mail.ru</v>
      </c>
      <c r="I4" s="0" t="str">
        <f aca="false">IFERROR(__xludf.dummyfunction("""COMPUTED_VALUE"""),"Социология")</f>
        <v>Социология</v>
      </c>
      <c r="J4" s="0" t="str">
        <f aca="false">IFERROR(__xludf.dummyfunction("""COMPUTED_VALUE"""),"Введение в российское право")</f>
        <v>Введение в российское право</v>
      </c>
      <c r="K4" s="0" t="n">
        <f aca="false">IFERROR(__xludf.dummyfunction("""COMPUTED_VALUE"""),1)</f>
        <v>1</v>
      </c>
      <c r="M4" s="1"/>
      <c r="O4" s="1" t="s">
        <v>763</v>
      </c>
    </row>
    <row r="5" customFormat="false" ht="15.75" hidden="false" customHeight="false" outlineLevel="0" collapsed="false">
      <c r="A5" s="11" t="n">
        <f aca="false">IFERROR(__xludf.dummyfunction("""COMPUTED_VALUE"""),43219.8753747338)</f>
        <v>43219.87537</v>
      </c>
      <c r="B5" s="0" t="str">
        <f aca="false">IFERROR(__xludf.dummyfunction("""COMPUTED_VALUE"""),"Лапшин")</f>
        <v>Лапшин</v>
      </c>
      <c r="C5" s="0" t="str">
        <f aca="false">IFERROR(__xludf.dummyfunction("""COMPUTED_VALUE"""),"Георгий")</f>
        <v>Георгий</v>
      </c>
      <c r="D5" s="0" t="n">
        <f aca="false">IFERROR(__xludf.dummyfunction("""COMPUTED_VALUE"""),10)</f>
        <v>10</v>
      </c>
      <c r="E5" s="0" t="n">
        <f aca="false">IFERROR(__xludf.dummyfunction("""COMPUTED_VALUE"""),64)</f>
        <v>64</v>
      </c>
      <c r="G5" s="0" t="str">
        <f aca="false">IFERROR(__xludf.dummyfunction("""COMPUTED_VALUE"""),"Нет")</f>
        <v>Нет</v>
      </c>
      <c r="H5" s="0" t="str">
        <f aca="false">IFERROR(__xludf.dummyfunction("""COMPUTED_VALUE"""),"gerlaps@gmail.com")</f>
        <v>gerlaps@gmail.com</v>
      </c>
      <c r="I5" s="0" t="str">
        <f aca="false">IFERROR(__xludf.dummyfunction("""COMPUTED_VALUE"""),"Социология")</f>
        <v>Социология</v>
      </c>
      <c r="J5" s="0" t="str">
        <f aca="false">IFERROR(__xludf.dummyfunction("""COMPUTED_VALUE"""),"Введение в роль элитных противостояний в истории")</f>
        <v>Введение в роль элитных противостояний в истории</v>
      </c>
      <c r="K5" s="0" t="n">
        <f aca="false">IFERROR(__xludf.dummyfunction("""COMPUTED_VALUE"""),1)</f>
        <v>1</v>
      </c>
      <c r="M5" s="1"/>
      <c r="O5" s="1" t="s">
        <v>763</v>
      </c>
    </row>
    <row r="6" customFormat="false" ht="15.75" hidden="false" customHeight="false" outlineLevel="0" collapsed="false">
      <c r="A6" s="11" t="n">
        <f aca="false">IFERROR(__xludf.dummyfunction("""COMPUTED_VALUE"""),43220.4297098148)</f>
        <v>43220.42971</v>
      </c>
      <c r="B6" s="0" t="str">
        <f aca="false">IFERROR(__xludf.dummyfunction("""COMPUTED_VALUE"""),"Свиридова ")</f>
        <v>Свиридова</v>
      </c>
      <c r="C6" s="0" t="str">
        <f aca="false">IFERROR(__xludf.dummyfunction("""COMPUTED_VALUE"""),"Мария")</f>
        <v>Мария</v>
      </c>
      <c r="D6" s="0" t="n">
        <f aca="false">IFERROR(__xludf.dummyfunction("""COMPUTED_VALUE"""),8)</f>
        <v>8</v>
      </c>
      <c r="E6" s="0" t="n">
        <f aca="false">IFERROR(__xludf.dummyfunction("""COMPUTED_VALUE"""),19)</f>
        <v>19</v>
      </c>
      <c r="G6" s="0" t="str">
        <f aca="false">IFERROR(__xludf.dummyfunction("""COMPUTED_VALUE"""),"Нет")</f>
        <v>Нет</v>
      </c>
      <c r="H6" s="0" t="str">
        <f aca="false">IFERROR(__xludf.dummyfunction("""COMPUTED_VALUE"""),"sviridova76@gmail.com")</f>
        <v>sviridova76@gmail.com</v>
      </c>
      <c r="I6" s="0" t="str">
        <f aca="false">IFERROR(__xludf.dummyfunction("""COMPUTED_VALUE"""),"Биология")</f>
        <v>Биология</v>
      </c>
      <c r="J6" s="0" t="str">
        <f aca="false">IFERROR(__xludf.dummyfunction("""COMPUTED_VALUE"""),"Биология")</f>
        <v>Биология</v>
      </c>
      <c r="K6" s="0" t="n">
        <f aca="false">IFERROR(__xludf.dummyfunction("""COMPUTED_VALUE"""),1)</f>
        <v>1</v>
      </c>
      <c r="M6" s="1"/>
      <c r="O6" s="1" t="s">
        <v>763</v>
      </c>
    </row>
    <row r="7" customFormat="false" ht="15.75" hidden="false" customHeight="false" outlineLevel="0" collapsed="false">
      <c r="A7" s="11" t="n">
        <f aca="false">IFERROR(__xludf.dummyfunction("""COMPUTED_VALUE"""),43221.2853585764)</f>
        <v>43221.28536</v>
      </c>
      <c r="B7" s="0" t="str">
        <f aca="false">IFERROR(__xludf.dummyfunction("""COMPUTED_VALUE"""),"Курбатова")</f>
        <v>Курбатова</v>
      </c>
      <c r="C7" s="0" t="str">
        <f aca="false">IFERROR(__xludf.dummyfunction("""COMPUTED_VALUE"""),"Анна")</f>
        <v>Анна</v>
      </c>
      <c r="D7" s="0" t="n">
        <f aca="false">IFERROR(__xludf.dummyfunction("""COMPUTED_VALUE"""),9)</f>
        <v>9</v>
      </c>
      <c r="E7" s="0" t="n">
        <f aca="false">IFERROR(__xludf.dummyfunction("""COMPUTED_VALUE"""),109)</f>
        <v>109</v>
      </c>
      <c r="G7" s="12" t="str">
        <f aca="false">IFERROR(__xludf.dummyfunction("""COMPUTED_VALUE"""),"vk.com/anna.kurbatova99")</f>
        <v>vk.com/anna.kurbatova99</v>
      </c>
      <c r="H7" s="0" t="str">
        <f aca="false">IFERROR(__xludf.dummyfunction("""COMPUTED_VALUE"""),"kea-sea@ya.ru")</f>
        <v>kea-sea@ya.ru</v>
      </c>
      <c r="I7" s="0" t="str">
        <f aca="false">IFERROR(__xludf.dummyfunction("""COMPUTED_VALUE"""),"Биология")</f>
        <v>Биология</v>
      </c>
      <c r="J7" s="0" t="str">
        <f aca="false">IFERROR(__xludf.dummyfunction("""COMPUTED_VALUE"""),"Меня не будет в эту половину")</f>
        <v>Меня не будет в эту половину</v>
      </c>
      <c r="K7" s="0" t="n">
        <f aca="false">IFERROR(__xludf.dummyfunction("""COMPUTED_VALUE"""),1)</f>
        <v>1</v>
      </c>
      <c r="L7" s="0" t="str">
        <f aca="false">IFERROR(__xludf.dummyfunction("""COMPUTED_VALUE"""),"написал второй раз")</f>
        <v>написал второй раз</v>
      </c>
      <c r="M7" s="1"/>
      <c r="N7" s="1"/>
      <c r="O7" s="1" t="s">
        <v>763</v>
      </c>
    </row>
    <row r="8" customFormat="false" ht="15.75" hidden="false" customHeight="false" outlineLevel="0" collapsed="false">
      <c r="A8" s="11" t="n">
        <f aca="false">IFERROR(__xludf.dummyfunction("""COMPUTED_VALUE"""),43221.6501416435)</f>
        <v>43221.65014</v>
      </c>
      <c r="B8" s="0" t="str">
        <f aca="false">IFERROR(__xludf.dummyfunction("""COMPUTED_VALUE"""),"Бахмутский")</f>
        <v>Бахмутский</v>
      </c>
      <c r="C8" s="0" t="str">
        <f aca="false">IFERROR(__xludf.dummyfunction("""COMPUTED_VALUE"""),"Андрей")</f>
        <v>Андрей</v>
      </c>
      <c r="D8" s="0" t="n">
        <f aca="false">IFERROR(__xludf.dummyfunction("""COMPUTED_VALUE"""),9)</f>
        <v>9</v>
      </c>
      <c r="E8" s="0" t="n">
        <f aca="false">IFERROR(__xludf.dummyfunction("""COMPUTED_VALUE"""),117)</f>
        <v>117</v>
      </c>
      <c r="G8" s="0" t="str">
        <f aca="false">IFERROR(__xludf.dummyfunction("""COMPUTED_VALUE"""),"Нет")</f>
        <v>Нет</v>
      </c>
      <c r="H8" s="0" t="str">
        <f aca="false">IFERROR(__xludf.dummyfunction("""COMPUTED_VALUE"""),"andremutskiy@mail.ru")</f>
        <v>andremutskiy@mail.ru</v>
      </c>
      <c r="I8" s="0" t="str">
        <f aca="false">IFERROR(__xludf.dummyfunction("""COMPUTED_VALUE"""),"Олимпиадная математика")</f>
        <v>Олимпиадная математика</v>
      </c>
      <c r="J8" s="0" t="str">
        <f aca="false">IFERROR(__xludf.dummyfunction("""COMPUTED_VALUE"""),"Экономическое мышление и никакой математики!")</f>
        <v>Экономическое мышление и никакой математики!</v>
      </c>
      <c r="K8" s="0" t="n">
        <f aca="false">IFERROR(__xludf.dummyfunction("""COMPUTED_VALUE"""),1)</f>
        <v>1</v>
      </c>
      <c r="M8" s="1"/>
      <c r="O8" s="1" t="s">
        <v>763</v>
      </c>
    </row>
    <row r="9" customFormat="false" ht="15.75" hidden="false" customHeight="false" outlineLevel="0" collapsed="false">
      <c r="A9" s="11" t="n">
        <f aca="false">IFERROR(__xludf.dummyfunction("""COMPUTED_VALUE"""),43226.7551663426)</f>
        <v>43226.75517</v>
      </c>
      <c r="B9" s="0" t="str">
        <f aca="false">IFERROR(__xludf.dummyfunction("""COMPUTED_VALUE"""),"Поркулевич")</f>
        <v>Поркулевич</v>
      </c>
      <c r="C9" s="0" t="str">
        <f aca="false">IFERROR(__xludf.dummyfunction("""COMPUTED_VALUE"""),"Семён")</f>
        <v>Семён</v>
      </c>
      <c r="D9" s="0" t="n">
        <f aca="false">IFERROR(__xludf.dummyfunction("""COMPUTED_VALUE"""),10)</f>
        <v>10</v>
      </c>
      <c r="E9" s="0" t="n">
        <f aca="false">IFERROR(__xludf.dummyfunction("""COMPUTED_VALUE"""),64)</f>
        <v>64</v>
      </c>
      <c r="G9" s="12" t="str">
        <f aca="false">IFERROR(__xludf.dummyfunction("""COMPUTED_VALUE"""),"vk.com/id153731120")</f>
        <v>vk.com/id153731120</v>
      </c>
      <c r="H9" s="0" t="str">
        <f aca="false">IFERROR(__xludf.dummyfunction("""COMPUTED_VALUE"""),"vaska.pupkin.1989@list.ru")</f>
        <v>vaska.pupkin.1989@list.ru</v>
      </c>
      <c r="I9" s="0" t="str">
        <f aca="false">IFERROR(__xludf.dummyfunction("""COMPUTED_VALUE"""),"Теория игр")</f>
        <v>Теория игр</v>
      </c>
      <c r="J9" s="0" t="str">
        <f aca="false">IFERROR(__xludf.dummyfunction("""COMPUTED_VALUE"""),"Теория вероятностей")</f>
        <v>Теория вероятностей</v>
      </c>
      <c r="K9" s="0" t="n">
        <f aca="false">IFERROR(__xludf.dummyfunction("""COMPUTED_VALUE"""),1)</f>
        <v>1</v>
      </c>
      <c r="M9" s="1"/>
      <c r="O9" s="1" t="s">
        <v>763</v>
      </c>
    </row>
    <row r="12" customFormat="false" ht="15.75" hidden="false" customHeight="false" outlineLevel="0" collapsed="false">
      <c r="Q12" s="1" t="s">
        <v>764</v>
      </c>
    </row>
    <row r="13" customFormat="false" ht="15.75" hidden="false" customHeight="false" outlineLevel="0" collapsed="false">
      <c r="Q13" s="1" t="n">
        <v>-1</v>
      </c>
      <c r="R13" s="1" t="s">
        <v>754</v>
      </c>
    </row>
    <row r="14" customFormat="false" ht="15.75" hidden="false" customHeight="false" outlineLevel="0" collapsed="false">
      <c r="Q14" s="1" t="n">
        <v>0</v>
      </c>
      <c r="R14" s="1" t="s">
        <v>755</v>
      </c>
    </row>
    <row r="15" customFormat="false" ht="15.75" hidden="false" customHeight="false" outlineLevel="0" collapsed="false">
      <c r="Q15" s="1" t="n">
        <v>1</v>
      </c>
      <c r="R15" s="1" t="s">
        <v>756</v>
      </c>
    </row>
    <row r="16" customFormat="false" ht="15.75" hidden="false" customHeight="false" outlineLevel="0" collapsed="false">
      <c r="Q16" s="1" t="n">
        <v>2</v>
      </c>
      <c r="R16" s="1" t="s">
        <v>757</v>
      </c>
    </row>
  </sheetData>
  <hyperlinks>
    <hyperlink ref="G2" r:id="rId1" display="http://vk.com/licharovski"/>
    <hyperlink ref="G3" r:id="rId2" display="http://vk.com/malenkaia_esho"/>
    <hyperlink ref="G7" r:id="rId3" display="http://vk.com/anna.kurbatova99"/>
    <hyperlink ref="G9" r:id="rId4" display="http://vk.com/id15373112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1.3"/>
    <col collapsed="false" customWidth="true" hidden="false" outlineLevel="0" max="5" min="5" style="0" width="5.43"/>
    <col collapsed="false" customWidth="true" hidden="false" outlineLevel="0" max="6" min="6" style="0" width="6.88"/>
    <col collapsed="false" customWidth="true" hidden="false" outlineLevel="0" max="7" min="7" style="0" width="8"/>
    <col collapsed="false" customWidth="true" hidden="false" outlineLevel="0" max="8" min="8" style="0" width="16.87"/>
    <col collapsed="false" customWidth="true" hidden="false" outlineLevel="0" max="10" min="10" style="0" width="12.29"/>
    <col collapsed="false" customWidth="true" hidden="false" outlineLevel="0" max="11" min="11" style="0" width="27.86"/>
    <col collapsed="false" customWidth="true" hidden="false" outlineLevel="0" max="12" min="12" style="0" width="9.86"/>
  </cols>
  <sheetData>
    <row r="1" customFormat="false" ht="15.75" hidden="false" customHeight="false" outlineLevel="0" collapsed="false">
      <c r="A1" s="17" t="s">
        <v>765</v>
      </c>
    </row>
    <row r="2" customFormat="false" ht="15.75" hidden="false" customHeight="false" outlineLevel="0" collapsed="false">
      <c r="A2" s="37" t="s">
        <v>180</v>
      </c>
      <c r="B2" s="37"/>
      <c r="C2" s="37"/>
    </row>
    <row r="3" customFormat="false" ht="15.75" hidden="false" customHeight="false" outlineLevel="0" collapsed="false">
      <c r="B3" s="0" t="s">
        <v>678</v>
      </c>
      <c r="C3" s="0" t="s">
        <v>1</v>
      </c>
      <c r="D3" s="0" t="s">
        <v>2</v>
      </c>
      <c r="E3" s="0" t="s">
        <v>3</v>
      </c>
      <c r="F3" s="0" t="s">
        <v>4</v>
      </c>
      <c r="G3" s="0" t="s">
        <v>5</v>
      </c>
      <c r="H3" s="0" t="s">
        <v>679</v>
      </c>
      <c r="I3" s="0" t="s">
        <v>7</v>
      </c>
      <c r="J3" s="0" t="s">
        <v>8</v>
      </c>
      <c r="K3" s="0" t="s">
        <v>9</v>
      </c>
      <c r="L3" s="1" t="s">
        <v>680</v>
      </c>
      <c r="M3" s="1" t="s">
        <v>682</v>
      </c>
    </row>
    <row r="4" customFormat="false" ht="15.75" hidden="false" customHeight="false" outlineLevel="0" collapsed="false">
      <c r="A4" s="21" t="n">
        <f aca="false">IF(NOT(ISBLANK(B3:B4)), ROW()-3,"")</f>
        <v>1</v>
      </c>
      <c r="B4" s="11" t="n">
        <f aca="false">IFERROR(__xludf.dummyfunction("FILTER('Переформатированный ответ'!$A$2:$K$179,ARRAYFORMULA((('Переформатированный ответ'!$I$2:$I$179 = A2)+('Переформатированный ответ'!$M$2:$M$179 &gt;-1)) = 2))"),43219.8444911806)</f>
        <v>43219.84449</v>
      </c>
      <c r="C4" s="0" t="str">
        <f aca="false">IFERROR(__xludf.dummyfunction("""COMPUTED_VALUE"""),"Киямова")</f>
        <v>Киямова</v>
      </c>
      <c r="D4" s="0" t="str">
        <f aca="false">IFERROR(__xludf.dummyfunction("""COMPUTED_VALUE"""),"Наиля")</f>
        <v>Наиля</v>
      </c>
      <c r="E4" s="0" t="n">
        <f aca="false">IFERROR(__xludf.dummyfunction("""COMPUTED_VALUE"""),10)</f>
        <v>10</v>
      </c>
      <c r="H4" s="12" t="str">
        <f aca="false">IFERROR(__xludf.dummyfunction("""COMPUTED_VALUE"""),"vk.com/loiwwer")</f>
        <v>vk.com/loiwwer</v>
      </c>
      <c r="I4" s="0" t="str">
        <f aca="false">IFERROR(__xludf.dummyfunction("""COMPUTED_VALUE"""),"nkom5507@gmail.com")</f>
        <v>nkom5507@gmail.com</v>
      </c>
      <c r="J4" s="0" t="str">
        <f aca="false">IFERROR(__xludf.dummyfunction("""COMPUTED_VALUE"""),"Программирование на arduino")</f>
        <v>Программирование на arduino</v>
      </c>
      <c r="K4" s="0" t="str">
        <f aca="false">IFERROR(__xludf.dummyfunction("""COMPUTED_VALUE"""),"Введение в анализ данных")</f>
        <v>Введение в анализ данных</v>
      </c>
      <c r="L4" s="0" t="str">
        <f aca="false">IFERROR(__xludf.dummyfunction("""COMPUTED_VALUE"""),"Да")</f>
        <v>Да</v>
      </c>
      <c r="M4" s="0" t="str">
        <f aca="false">IFERROR(__xludf.dummyfunction("ARRAYFORMULA(IF(FILTER('Переформатированный ответ'!$M$2:$M$179,ARRAYFORMULA((('Переформатированный ответ'!$I$169:$I$179 = A2)+('Переформатированный ответ'!$M$2:$M$179 &gt;-1)) = 2)) = 2,""будет"",""неизвестно""))"),"#N/A")</f>
        <v>#N/A</v>
      </c>
    </row>
    <row r="5" customFormat="false" ht="15.75" hidden="false" customHeight="false" outlineLevel="0" collapsed="false">
      <c r="A5" s="21" t="n">
        <f aca="false">IF(NOT(ISBLANK(B4:B5)), ROW()-3,"")</f>
        <v>2</v>
      </c>
      <c r="B5" s="11" t="n">
        <f aca="false">IFERROR(__xludf.dummyfunction("""COMPUTED_VALUE"""),43221.4677968866)</f>
        <v>43221.4678</v>
      </c>
      <c r="C5" s="0" t="str">
        <f aca="false">IFERROR(__xludf.dummyfunction("""COMPUTED_VALUE"""),"Любавина")</f>
        <v>Любавина</v>
      </c>
      <c r="D5" s="0" t="str">
        <f aca="false">IFERROR(__xludf.dummyfunction("""COMPUTED_VALUE"""),"София")</f>
        <v>София</v>
      </c>
      <c r="E5" s="0" t="n">
        <f aca="false">IFERROR(__xludf.dummyfunction("""COMPUTED_VALUE"""),10)</f>
        <v>10</v>
      </c>
      <c r="F5" s="0" t="n">
        <f aca="false">IFERROR(__xludf.dummyfunction("""COMPUTED_VALUE"""),117)</f>
        <v>117</v>
      </c>
      <c r="H5" s="12" t="str">
        <f aca="false">IFERROR(__xludf.dummyfunction("""COMPUTED_VALUE"""),"vk.com/sofialyubavina")</f>
        <v>vk.com/sofialyubavina</v>
      </c>
      <c r="I5" s="0" t="str">
        <f aca="false">IFERROR(__xludf.dummyfunction("""COMPUTED_VALUE"""),"sophiaomsk@mail.ru")</f>
        <v>sophiaomsk@mail.ru</v>
      </c>
      <c r="J5" s="0" t="str">
        <f aca="false">IFERROR(__xludf.dummyfunction("""COMPUTED_VALUE"""),"Программирование на arduino")</f>
        <v>Программирование на arduino</v>
      </c>
      <c r="K5" s="0" t="str">
        <f aca="false">IFERROR(__xludf.dummyfunction("""COMPUTED_VALUE"""),"Границы применимости физических моделей")</f>
        <v>Границы применимости физических моделей</v>
      </c>
      <c r="L5" s="0" t="str">
        <f aca="false">IFERROR(__xludf.dummyfunction("""COMPUTED_VALUE"""),"Нет")</f>
        <v>Нет</v>
      </c>
    </row>
    <row r="6" customFormat="false" ht="15.75" hidden="false" customHeight="false" outlineLevel="0" collapsed="false">
      <c r="A6" s="21" t="n">
        <f aca="false">IF(NOT(ISBLANK(B5:B6)), ROW()-3,"")</f>
        <v>3</v>
      </c>
      <c r="B6" s="11" t="n">
        <f aca="false">IFERROR(__xludf.dummyfunction("""COMPUTED_VALUE"""),43229.5072433333)</f>
        <v>43229.50724</v>
      </c>
      <c r="C6" s="0" t="str">
        <f aca="false">IFERROR(__xludf.dummyfunction("""COMPUTED_VALUE"""),"Ушаков")</f>
        <v>Ушаков</v>
      </c>
      <c r="D6" s="0" t="str">
        <f aca="false">IFERROR(__xludf.dummyfunction("""COMPUTED_VALUE"""),"Константин")</f>
        <v>Константин</v>
      </c>
      <c r="E6" s="0" t="n">
        <f aca="false">IFERROR(__xludf.dummyfunction("""COMPUTED_VALUE"""),11)</f>
        <v>11</v>
      </c>
      <c r="F6" s="0" t="n">
        <f aca="false">IFERROR(__xludf.dummyfunction("""COMPUTED_VALUE"""),64)</f>
        <v>64</v>
      </c>
      <c r="H6" s="12" t="str">
        <f aca="false">IFERROR(__xludf.dummyfunction("""COMPUTED_VALUE"""),"vk.com/werrewqr")</f>
        <v>vk.com/werrewqr</v>
      </c>
      <c r="I6" s="0" t="str">
        <f aca="false">IFERROR(__xludf.dummyfunction("""COMPUTED_VALUE"""),"ushk2010@yandex.ru")</f>
        <v>ushk2010@yandex.ru</v>
      </c>
      <c r="J6" s="0" t="str">
        <f aca="false">IFERROR(__xludf.dummyfunction("""COMPUTED_VALUE"""),"Программирование на arduino")</f>
        <v>Программирование на arduino</v>
      </c>
      <c r="K6" s="0" t="str">
        <f aca="false">IFERROR(__xludf.dummyfunction("""COMPUTED_VALUE"""),"Введение в роль элитных противостояний в истории")</f>
        <v>Введение в роль элитных противостояний в истории</v>
      </c>
      <c r="L6" s="0" t="str">
        <f aca="false">IFERROR(__xludf.dummyfunction("""COMPUTED_VALUE"""),"Да")</f>
        <v>Да</v>
      </c>
    </row>
    <row r="7" customFormat="false" ht="15.75" hidden="false" customHeight="false" outlineLevel="0" collapsed="false">
      <c r="A7" s="21" t="str">
        <f aca="false">IF(NOT(ISBLANK(B6:B7)), ROW()-3,"")</f>
        <v/>
      </c>
    </row>
    <row r="8" customFormat="false" ht="15.75" hidden="false" customHeight="false" outlineLevel="0" collapsed="false">
      <c r="A8" s="21" t="str">
        <f aca="false">IF(NOT(ISBLANK(B7:B8)), ROW()-3,"")</f>
        <v/>
      </c>
    </row>
    <row r="9" customFormat="false" ht="15.75" hidden="false" customHeight="false" outlineLevel="0" collapsed="false">
      <c r="A9" s="21" t="str">
        <f aca="false">IF(NOT(ISBLANK(B8:B9)), ROW()-3,"")</f>
        <v/>
      </c>
    </row>
    <row r="10" customFormat="false" ht="15.75" hidden="false" customHeight="false" outlineLevel="0" collapsed="false">
      <c r="A10" s="21" t="str">
        <f aca="false">IF(NOT(ISBLANK(B9:B10)), ROW()-3,"")</f>
        <v/>
      </c>
    </row>
    <row r="11" customFormat="false" ht="15.75" hidden="false" customHeight="false" outlineLevel="0" collapsed="false">
      <c r="A11" s="21" t="str">
        <f aca="false">IF(NOT(ISBLANK(B10:B11)), ROW()-3,"")</f>
        <v/>
      </c>
    </row>
    <row r="12" customFormat="false" ht="15.75" hidden="false" customHeight="false" outlineLevel="0" collapsed="false">
      <c r="A12" s="21" t="str">
        <f aca="false">IF(NOT(ISBLANK(B11:B12)), ROW()-3,"")</f>
        <v/>
      </c>
    </row>
    <row r="13" customFormat="false" ht="15.75" hidden="false" customHeight="false" outlineLevel="0" collapsed="false">
      <c r="A13" s="21" t="str">
        <f aca="false">IF(NOT(ISBLANK(B12:B13)), ROW()-3,"")</f>
        <v/>
      </c>
    </row>
    <row r="14" customFormat="false" ht="15.75" hidden="false" customHeight="false" outlineLevel="0" collapsed="false">
      <c r="A14" s="21" t="str">
        <f aca="false">IF(NOT(ISBLANK(B13:B14)), ROW()-3,"")</f>
        <v/>
      </c>
    </row>
    <row r="15" customFormat="false" ht="15.75" hidden="false" customHeight="false" outlineLevel="0" collapsed="false">
      <c r="A15" s="21" t="str">
        <f aca="false">IF(NOT(ISBLANK(B14:B15)), ROW()-3,"")</f>
        <v/>
      </c>
    </row>
    <row r="16" customFormat="false" ht="15.75" hidden="false" customHeight="false" outlineLevel="0" collapsed="false">
      <c r="A16" s="21" t="str">
        <f aca="false">IF(NOT(ISBLANK(B15:B16)), ROW()-3,"")</f>
        <v/>
      </c>
    </row>
    <row r="17" customFormat="false" ht="15.75" hidden="false" customHeight="false" outlineLevel="0" collapsed="false">
      <c r="A17" s="21" t="str">
        <f aca="false">IF(NOT(ISBLANK(B16:B17)), ROW()-3,"")</f>
        <v/>
      </c>
    </row>
    <row r="18" customFormat="false" ht="15.75" hidden="false" customHeight="false" outlineLevel="0" collapsed="false">
      <c r="A18" s="21" t="str">
        <f aca="false">IF(NOT(ISBLANK(B17:B18)), ROW()-3,"")</f>
        <v/>
      </c>
    </row>
    <row r="19" customFormat="false" ht="15.75" hidden="false" customHeight="false" outlineLevel="0" collapsed="false">
      <c r="A19" s="21" t="str">
        <f aca="false">IF(NOT(ISBLANK(B18:B19)), ROW()-3,"")</f>
        <v/>
      </c>
    </row>
    <row r="20" customFormat="false" ht="15.75" hidden="false" customHeight="false" outlineLevel="0" collapsed="false">
      <c r="A20" s="21" t="str">
        <f aca="false">IF(NOT(ISBLANK(B19:B20)), ROW()-3,"")</f>
        <v/>
      </c>
    </row>
    <row r="21" customFormat="false" ht="15.75" hidden="false" customHeight="false" outlineLevel="0" collapsed="false">
      <c r="A21" s="21" t="str">
        <f aca="false">IF(NOT(ISBLANK(B20:B21)), ROW()-3,"")</f>
        <v/>
      </c>
    </row>
    <row r="22" customFormat="false" ht="15.75" hidden="false" customHeight="false" outlineLevel="0" collapsed="false">
      <c r="A22" s="21" t="str">
        <f aca="false">IF(NOT(ISBLANK(B21:B22)), ROW()-3,"")</f>
        <v/>
      </c>
    </row>
    <row r="23" customFormat="false" ht="15.75" hidden="false" customHeight="false" outlineLevel="0" collapsed="false">
      <c r="A23" s="21" t="str">
        <f aca="false">IF(NOT(ISBLANK(B22:B23)), ROW()-3,"")</f>
        <v/>
      </c>
    </row>
    <row r="24" customFormat="false" ht="15.75" hidden="false" customHeight="false" outlineLevel="0" collapsed="false">
      <c r="A24" s="21" t="str">
        <f aca="false">IF(NOT(ISBLANK(B23:B24)), ROW()-3,"")</f>
        <v/>
      </c>
    </row>
    <row r="25" customFormat="false" ht="15.75" hidden="false" customHeight="false" outlineLevel="0" collapsed="false">
      <c r="A25" s="21" t="str">
        <f aca="false">IF(NOT(ISBLANK(B24:B25)), ROW()-3,"")</f>
        <v/>
      </c>
    </row>
    <row r="26" customFormat="false" ht="15.75" hidden="false" customHeight="false" outlineLevel="0" collapsed="false">
      <c r="A26" s="21" t="str">
        <f aca="false">IF(NOT(ISBLANK(B25:B26)), ROW()-3,"")</f>
        <v/>
      </c>
    </row>
    <row r="27" customFormat="false" ht="15.75" hidden="false" customHeight="false" outlineLevel="0" collapsed="false">
      <c r="A27" s="21" t="str">
        <f aca="false">IF(NOT(ISBLANK(B26:B27)), ROW()-3,"")</f>
        <v/>
      </c>
    </row>
    <row r="28" customFormat="false" ht="15.75" hidden="false" customHeight="false" outlineLevel="0" collapsed="false">
      <c r="A28" s="21" t="str">
        <f aca="false">IF(NOT(ISBLANK(B27:B28)), ROW()-3,"")</f>
        <v/>
      </c>
    </row>
    <row r="29" customFormat="false" ht="15.75" hidden="false" customHeight="false" outlineLevel="0" collapsed="false">
      <c r="A29" s="21" t="str">
        <f aca="false">IF(NOT(ISBLANK(B28:B29)), ROW()-3,"")</f>
        <v/>
      </c>
    </row>
    <row r="30" customFormat="false" ht="15.75" hidden="false" customHeight="false" outlineLevel="0" collapsed="false">
      <c r="A30" s="21" t="str">
        <f aca="false">IF(NOT(ISBLANK(B29:B30)), ROW()-3,"")</f>
        <v/>
      </c>
    </row>
    <row r="31" customFormat="false" ht="15.75" hidden="false" customHeight="false" outlineLevel="0" collapsed="false">
      <c r="A31" s="21" t="str">
        <f aca="false">IF(NOT(ISBLANK(B30:B31)), ROW()-3,"")</f>
        <v/>
      </c>
    </row>
    <row r="32" customFormat="false" ht="15.75" hidden="false" customHeight="false" outlineLevel="0" collapsed="false">
      <c r="A32" s="21" t="str">
        <f aca="false">IF(NOT(ISBLANK(B31:B32)), ROW()-3,"")</f>
        <v/>
      </c>
    </row>
    <row r="33" customFormat="false" ht="15.75" hidden="false" customHeight="false" outlineLevel="0" collapsed="false">
      <c r="A33" s="21" t="str">
        <f aca="false">IF(NOT(ISBLANK(B32:B33)), ROW()-3,"")</f>
        <v/>
      </c>
    </row>
    <row r="34" customFormat="false" ht="15.75" hidden="false" customHeight="false" outlineLevel="0" collapsed="false">
      <c r="A34" s="21" t="str">
        <f aca="false">IF(NOT(ISBLANK(B33:B34)), ROW()-3,"")</f>
        <v/>
      </c>
    </row>
    <row r="35" customFormat="false" ht="15.75" hidden="false" customHeight="false" outlineLevel="0" collapsed="false">
      <c r="A35" s="21" t="str">
        <f aca="false">IF(NOT(ISBLANK(B34:B35)), ROW()-3,"")</f>
        <v/>
      </c>
    </row>
    <row r="36" customFormat="false" ht="15.75" hidden="false" customHeight="false" outlineLevel="0" collapsed="false">
      <c r="A36" s="21" t="str">
        <f aca="false">IF(NOT(ISBLANK(B35:B36)), ROW()-3,"")</f>
        <v/>
      </c>
    </row>
    <row r="37" customFormat="false" ht="15.75" hidden="false" customHeight="false" outlineLevel="0" collapsed="false">
      <c r="A37" s="21" t="str">
        <f aca="false">IF(NOT(ISBLANK(B36:B37)), ROW()-3,"")</f>
        <v/>
      </c>
    </row>
    <row r="38" customFormat="false" ht="15.75" hidden="false" customHeight="false" outlineLevel="0" collapsed="false">
      <c r="A38" s="21" t="str">
        <f aca="false">IF(NOT(ISBLANK(B37:B38)), ROW()-3,"")</f>
        <v/>
      </c>
    </row>
    <row r="39" customFormat="false" ht="15.75" hidden="false" customHeight="false" outlineLevel="0" collapsed="false">
      <c r="A39" s="21" t="str">
        <f aca="false">IF(NOT(ISBLANK(B38:B39)), ROW()-3,"")</f>
        <v/>
      </c>
    </row>
    <row r="40" customFormat="false" ht="15.75" hidden="false" customHeight="false" outlineLevel="0" collapsed="false">
      <c r="A40" s="21" t="str">
        <f aca="false">IF(NOT(ISBLANK(B39:B40)), ROW()-3,"")</f>
        <v/>
      </c>
    </row>
    <row r="41" customFormat="false" ht="15.75" hidden="false" customHeight="false" outlineLevel="0" collapsed="false">
      <c r="A41" s="21" t="str">
        <f aca="false">IF(NOT(ISBLANK(B40:B41)), ROW()-3,"")</f>
        <v/>
      </c>
    </row>
    <row r="42" customFormat="false" ht="15.75" hidden="false" customHeight="false" outlineLevel="0" collapsed="false">
      <c r="A42" s="21" t="str">
        <f aca="false">IF(NOT(ISBLANK(B41:B42)), ROW()-3,"")</f>
        <v/>
      </c>
    </row>
    <row r="43" customFormat="false" ht="15.75" hidden="false" customHeight="false" outlineLevel="0" collapsed="false">
      <c r="A43" s="21" t="str">
        <f aca="false">IF(NOT(ISBLANK(B42:B43)), ROW()-3,"")</f>
        <v/>
      </c>
    </row>
  </sheetData>
  <mergeCells count="1">
    <mergeCell ref="A2:C2"/>
  </mergeCells>
  <dataValidations count="1">
    <dataValidation allowBlank="true" errorStyle="stop" operator="between" showDropDown="false" showErrorMessage="true" showInputMessage="false" sqref="A2" type="list">
      <formula1>Статистика!$A$2:$A$12</formula1>
      <formula2>0</formula2>
    </dataValidation>
  </dataValidations>
  <hyperlinks>
    <hyperlink ref="H4" r:id="rId1" display="http://vk.com/loiwwer"/>
    <hyperlink ref="H5" r:id="rId2" display="http://vk.com/sofialyubavina"/>
    <hyperlink ref="H6" r:id="rId3" display="http://vk.com/werrewqr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4" min="4" style="0" width="20.98"/>
    <col collapsed="false" customWidth="true" hidden="false" outlineLevel="0" max="5" min="5" style="0" width="19.31"/>
  </cols>
  <sheetData>
    <row r="1" customFormat="false" ht="15.75" hidden="false" customHeight="false" outlineLevel="0" collapsed="false">
      <c r="A1" s="17" t="s">
        <v>2</v>
      </c>
      <c r="B1" s="17" t="s">
        <v>1</v>
      </c>
      <c r="C1" s="17" t="s">
        <v>748</v>
      </c>
      <c r="D1" s="17" t="s">
        <v>766</v>
      </c>
      <c r="E1" s="17" t="s">
        <v>767</v>
      </c>
    </row>
    <row r="2" customFormat="false" ht="15.75" hidden="false" customHeight="false" outlineLevel="0" collapsed="false">
      <c r="A2" s="1" t="s">
        <v>173</v>
      </c>
      <c r="B2" s="1" t="s">
        <v>675</v>
      </c>
      <c r="C2" s="1" t="n">
        <v>6</v>
      </c>
      <c r="D2" s="1" t="s">
        <v>50</v>
      </c>
      <c r="E2" s="1" t="s">
        <v>22</v>
      </c>
    </row>
    <row r="3" customFormat="false" ht="15.75" hidden="false" customHeight="false" outlineLevel="0" collapsed="false">
      <c r="A3" s="1" t="s">
        <v>97</v>
      </c>
      <c r="B3" s="1" t="s">
        <v>96</v>
      </c>
      <c r="C3" s="1" t="n">
        <v>6</v>
      </c>
      <c r="D3" s="1" t="s">
        <v>14</v>
      </c>
      <c r="E3" s="1" t="s">
        <v>80</v>
      </c>
    </row>
    <row r="4" customFormat="false" ht="15.75" hidden="false" customHeight="false" outlineLevel="0" collapsed="false">
      <c r="A4" s="1" t="s">
        <v>210</v>
      </c>
      <c r="B4" s="1" t="s">
        <v>697</v>
      </c>
      <c r="C4" s="1" t="n">
        <v>6</v>
      </c>
      <c r="D4" s="1" t="s">
        <v>14</v>
      </c>
      <c r="E4" s="1" t="s">
        <v>15</v>
      </c>
    </row>
    <row r="5" customFormat="false" ht="15.75" hidden="false" customHeight="false" outlineLevel="0" collapsed="false">
      <c r="A5" s="1" t="s">
        <v>383</v>
      </c>
      <c r="B5" s="1" t="s">
        <v>768</v>
      </c>
      <c r="C5" s="1" t="n">
        <v>9</v>
      </c>
      <c r="D5" s="1" t="s">
        <v>22</v>
      </c>
      <c r="E5" s="1" t="s">
        <v>15</v>
      </c>
    </row>
    <row r="6" customFormat="false" ht="15.75" hidden="false" customHeight="false" outlineLevel="0" collapsed="false">
      <c r="A6" s="1" t="s">
        <v>377</v>
      </c>
      <c r="B6" s="1" t="s">
        <v>376</v>
      </c>
      <c r="C6" s="1" t="n">
        <v>12</v>
      </c>
      <c r="D6" s="1" t="s">
        <v>15</v>
      </c>
      <c r="E6" s="34" t="s">
        <v>85</v>
      </c>
    </row>
    <row r="7" customFormat="false" ht="15.75" hidden="false" customHeight="false" outlineLevel="0" collapsed="false">
      <c r="A7" s="1" t="s">
        <v>769</v>
      </c>
      <c r="B7" s="1" t="s">
        <v>770</v>
      </c>
      <c r="C7" s="1" t="n">
        <v>12</v>
      </c>
      <c r="D7" s="1" t="s">
        <v>22</v>
      </c>
      <c r="E7" s="1" t="s">
        <v>15</v>
      </c>
    </row>
    <row r="8" customFormat="false" ht="15.75" hidden="false" customHeight="false" outlineLevel="0" collapsed="false">
      <c r="A8" s="1" t="s">
        <v>383</v>
      </c>
      <c r="B8" s="1" t="s">
        <v>768</v>
      </c>
      <c r="C8" s="1" t="n">
        <v>12</v>
      </c>
      <c r="D8" s="1" t="s">
        <v>23</v>
      </c>
      <c r="E8" s="1" t="s">
        <v>15</v>
      </c>
    </row>
    <row r="9" customFormat="false" ht="15.75" hidden="false" customHeight="false" outlineLevel="0" collapsed="false">
      <c r="A9" s="1" t="s">
        <v>313</v>
      </c>
      <c r="B9" s="1" t="s">
        <v>312</v>
      </c>
      <c r="C9" s="1" t="n">
        <v>12</v>
      </c>
      <c r="D9" s="1" t="s">
        <v>22</v>
      </c>
      <c r="E9" s="1" t="s">
        <v>15</v>
      </c>
    </row>
    <row r="10" customFormat="false" ht="15.75" hidden="false" customHeight="false" outlineLevel="0" collapsed="false">
      <c r="A10" s="1" t="s">
        <v>115</v>
      </c>
      <c r="B10" s="1" t="s">
        <v>487</v>
      </c>
      <c r="C10" s="1" t="n">
        <v>12</v>
      </c>
      <c r="D10" s="1" t="s">
        <v>22</v>
      </c>
      <c r="E10" s="1" t="s">
        <v>15</v>
      </c>
    </row>
    <row r="11" customFormat="false" ht="15.75" hidden="false" customHeight="false" outlineLevel="0" collapsed="false">
      <c r="A11" s="1" t="s">
        <v>31</v>
      </c>
      <c r="B11" s="1" t="s">
        <v>30</v>
      </c>
      <c r="C11" s="1" t="n">
        <v>13</v>
      </c>
      <c r="D11" s="1" t="s">
        <v>22</v>
      </c>
      <c r="E11" s="1" t="s">
        <v>771</v>
      </c>
    </row>
    <row r="12" customFormat="false" ht="15.75" hidden="false" customHeight="false" outlineLevel="0" collapsed="false">
      <c r="A12" s="1" t="s">
        <v>251</v>
      </c>
      <c r="B12" s="1" t="s">
        <v>250</v>
      </c>
      <c r="C12" s="1" t="n">
        <v>16</v>
      </c>
      <c r="D12" s="1" t="s">
        <v>22</v>
      </c>
      <c r="E12" s="1" t="s">
        <v>771</v>
      </c>
    </row>
    <row r="13" customFormat="false" ht="15.75" hidden="false" customHeight="false" outlineLevel="0" collapsed="false">
      <c r="A13" s="1" t="s">
        <v>222</v>
      </c>
      <c r="B13" s="1" t="s">
        <v>317</v>
      </c>
      <c r="C13" s="1" t="n">
        <v>17</v>
      </c>
      <c r="D13" s="1" t="s">
        <v>109</v>
      </c>
      <c r="E13" s="1" t="s">
        <v>772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1.3"/>
    <col collapsed="false" customWidth="true" hidden="false" outlineLevel="0" max="5" min="5" style="0" width="5.43"/>
    <col collapsed="false" customWidth="true" hidden="false" outlineLevel="0" max="6" min="6" style="0" width="6.88"/>
    <col collapsed="false" customWidth="true" hidden="false" outlineLevel="0" max="7" min="7" style="0" width="8"/>
    <col collapsed="false" customWidth="true" hidden="true" outlineLevel="0" max="8" min="8" style="0" width="16.87"/>
    <col collapsed="false" customWidth="false" hidden="true" outlineLevel="0" max="9" min="9" style="0" width="14.43"/>
    <col collapsed="false" customWidth="true" hidden="false" outlineLevel="0" max="10" min="10" style="0" width="23.29"/>
    <col collapsed="false" customWidth="true" hidden="false" outlineLevel="0" max="11" min="11" style="0" width="27.86"/>
    <col collapsed="false" customWidth="true" hidden="false" outlineLevel="0" max="12" min="12" style="0" width="9.86"/>
    <col collapsed="false" customWidth="true" hidden="false" outlineLevel="0" max="18" min="18" style="0" width="6.88"/>
  </cols>
  <sheetData>
    <row r="1" customFormat="false" ht="15.75" hidden="false" customHeight="false" outlineLevel="0" collapsed="false">
      <c r="A1" s="17" t="s">
        <v>765</v>
      </c>
    </row>
    <row r="2" customFormat="false" ht="15.75" hidden="false" customHeight="false" outlineLevel="0" collapsed="false">
      <c r="A2" s="37" t="s">
        <v>29</v>
      </c>
      <c r="B2" s="37"/>
      <c r="C2" s="37"/>
    </row>
    <row r="3" customFormat="false" ht="15.75" hidden="false" customHeight="false" outlineLevel="0" collapsed="false">
      <c r="B3" s="0" t="s">
        <v>1</v>
      </c>
      <c r="C3" s="0" t="s">
        <v>2</v>
      </c>
      <c r="D3" s="0" t="s">
        <v>3</v>
      </c>
      <c r="E3" s="0" t="s">
        <v>4</v>
      </c>
      <c r="G3" s="0" t="s">
        <v>5</v>
      </c>
      <c r="H3" s="0" t="s">
        <v>679</v>
      </c>
      <c r="I3" s="0" t="s">
        <v>7</v>
      </c>
      <c r="J3" s="0" t="s">
        <v>8</v>
      </c>
      <c r="K3" s="0" t="s">
        <v>9</v>
      </c>
      <c r="L3" s="1" t="s">
        <v>680</v>
      </c>
      <c r="M3" s="1" t="s">
        <v>682</v>
      </c>
      <c r="N3" s="1" t="n">
        <v>5.07</v>
      </c>
    </row>
    <row r="4" customFormat="false" ht="15.75" hidden="false" customHeight="false" outlineLevel="0" collapsed="false">
      <c r="A4" s="21" t="n">
        <f aca="false">IF(NOT(ISBLANK(B3:B4)), ROW()-3,"")</f>
        <v>1</v>
      </c>
      <c r="B4" s="0" t="str">
        <f aca="false">IFERROR(__xludf.dummyfunction("FILTER('Переформатированный ответ'!$B$2:$E$179,ARRAYFORMULA((('Переформатированный ответ'!$I$2:$I$179 = A2)+('Переформатированный ответ'!$M$2:$M$179 &gt;-1)) = 2))"),"Власов")</f>
        <v>Власов</v>
      </c>
      <c r="C4" s="0" t="str">
        <f aca="false">IFERROR(__xludf.dummyfunction("""COMPUTED_VALUE"""),"Роман")</f>
        <v>Роман</v>
      </c>
      <c r="D4" s="0" t="n">
        <f aca="false">IFERROR(__xludf.dummyfunction("""COMPUTED_VALUE"""),9)</f>
        <v>9</v>
      </c>
      <c r="E4" s="0" t="n">
        <f aca="false">IFERROR(__xludf.dummyfunction("""COMPUTED_VALUE"""),117)</f>
        <v>117</v>
      </c>
      <c r="M4" s="0" t="str">
        <f aca="false">IFERROR(__xludf.dummyfunction("ARRAYFORMULA(IF(FILTER('Переформатированный ответ'!$M$2:$M$179,ARRAYFORMULA((('Переформатированный ответ'!$I$2:$I$179 = A2)+('Переформатированный ответ'!$M$2:$M$179 &gt;-1)) = 2)) = 2,""будет"",""неизвестно""))"),"будет")</f>
        <v>будет</v>
      </c>
      <c r="N4" s="1" t="s">
        <v>773</v>
      </c>
    </row>
    <row r="5" customFormat="false" ht="15.75" hidden="false" customHeight="false" outlineLevel="0" collapsed="false">
      <c r="A5" s="21" t="n">
        <f aca="false">IF(NOT(ISBLANK(B4:B5)), ROW()-3,"")</f>
        <v>2</v>
      </c>
      <c r="B5" s="0" t="str">
        <f aca="false">IFERROR(__xludf.dummyfunction("""COMPUTED_VALUE"""),"Калиниченко")</f>
        <v>Калиниченко</v>
      </c>
      <c r="C5" s="0" t="str">
        <f aca="false">IFERROR(__xludf.dummyfunction("""COMPUTED_VALUE"""),"Арсений")</f>
        <v>Арсений</v>
      </c>
      <c r="D5" s="0" t="n">
        <f aca="false">IFERROR(__xludf.dummyfunction("""COMPUTED_VALUE"""),9)</f>
        <v>9</v>
      </c>
      <c r="E5" s="0" t="n">
        <f aca="false">IFERROR(__xludf.dummyfunction("""COMPUTED_VALUE"""),51)</f>
        <v>51</v>
      </c>
      <c r="M5" s="0" t="str">
        <f aca="false">IFERROR(__xludf.dummyfunction("""COMPUTED_VALUE"""),"будет")</f>
        <v>будет</v>
      </c>
      <c r="N5" s="1" t="s">
        <v>773</v>
      </c>
    </row>
    <row r="6" customFormat="false" ht="15.75" hidden="false" customHeight="false" outlineLevel="0" collapsed="false">
      <c r="A6" s="21" t="n">
        <f aca="false">IF(NOT(ISBLANK(B5:B6)), ROW()-3,"")</f>
        <v>3</v>
      </c>
      <c r="B6" s="0" t="str">
        <f aca="false">IFERROR(__xludf.dummyfunction("""COMPUTED_VALUE"""),"Лазарев")</f>
        <v>Лазарев</v>
      </c>
      <c r="C6" s="0" t="str">
        <f aca="false">IFERROR(__xludf.dummyfunction("""COMPUTED_VALUE"""),"Анатолий")</f>
        <v>Анатолий</v>
      </c>
      <c r="D6" s="0" t="n">
        <f aca="false">IFERROR(__xludf.dummyfunction("""COMPUTED_VALUE"""),10)</f>
        <v>10</v>
      </c>
      <c r="E6" s="0" t="n">
        <f aca="false">IFERROR(__xludf.dummyfunction("""COMPUTED_VALUE"""),149)</f>
        <v>149</v>
      </c>
      <c r="M6" s="0" t="str">
        <f aca="false">IFERROR(__xludf.dummyfunction("""COMPUTED_VALUE"""),"будет")</f>
        <v>будет</v>
      </c>
      <c r="N6" s="1" t="s">
        <v>773</v>
      </c>
    </row>
    <row r="7" customFormat="false" ht="15.75" hidden="false" customHeight="false" outlineLevel="0" collapsed="false">
      <c r="A7" s="21" t="n">
        <f aca="false">IF(NOT(ISBLANK(B6:B7)), ROW()-3,"")</f>
        <v>4</v>
      </c>
      <c r="B7" s="0" t="str">
        <f aca="false">IFERROR(__xludf.dummyfunction("""COMPUTED_VALUE"""),"Лян")</f>
        <v>Лян</v>
      </c>
      <c r="C7" s="0" t="str">
        <f aca="false">IFERROR(__xludf.dummyfunction("""COMPUTED_VALUE"""),"Вячеслав")</f>
        <v>Вячеслав</v>
      </c>
      <c r="D7" s="0" t="n">
        <f aca="false">IFERROR(__xludf.dummyfunction("""COMPUTED_VALUE"""),10)</f>
        <v>10</v>
      </c>
      <c r="E7" s="0" t="n">
        <f aca="false">IFERROR(__xludf.dummyfunction("""COMPUTED_VALUE"""),117)</f>
        <v>117</v>
      </c>
      <c r="M7" s="0" t="str">
        <f aca="false">IFERROR(__xludf.dummyfunction("""COMPUTED_VALUE"""),"будет")</f>
        <v>будет</v>
      </c>
    </row>
    <row r="8" customFormat="false" ht="15.75" hidden="false" customHeight="false" outlineLevel="0" collapsed="false">
      <c r="A8" s="21" t="n">
        <f aca="false">IF(NOT(ISBLANK(B7:B8)), ROW()-3,"")</f>
        <v>5</v>
      </c>
      <c r="B8" s="0" t="str">
        <f aca="false">IFERROR(__xludf.dummyfunction("""COMPUTED_VALUE"""),"Синельникова")</f>
        <v>Синельникова</v>
      </c>
      <c r="C8" s="0" t="str">
        <f aca="false">IFERROR(__xludf.dummyfunction("""COMPUTED_VALUE"""),"Поля")</f>
        <v>Поля</v>
      </c>
      <c r="D8" s="0" t="n">
        <f aca="false">IFERROR(__xludf.dummyfunction("""COMPUTED_VALUE"""),10)</f>
        <v>10</v>
      </c>
      <c r="E8" s="0" t="n">
        <f aca="false">IFERROR(__xludf.dummyfunction("""COMPUTED_VALUE"""),19)</f>
        <v>19</v>
      </c>
      <c r="M8" s="0" t="str">
        <f aca="false">IFERROR(__xludf.dummyfunction("""COMPUTED_VALUE"""),"будет")</f>
        <v>будет</v>
      </c>
      <c r="N8" s="1" t="s">
        <v>773</v>
      </c>
    </row>
    <row r="9" customFormat="false" ht="15.75" hidden="false" customHeight="false" outlineLevel="0" collapsed="false">
      <c r="A9" s="21" t="n">
        <f aca="false">IF(NOT(ISBLANK(B8:B9)), ROW()-3,"")</f>
        <v>6</v>
      </c>
      <c r="B9" s="0" t="str">
        <f aca="false">IFERROR(__xludf.dummyfunction("""COMPUTED_VALUE"""),"Назаров")</f>
        <v>Назаров</v>
      </c>
      <c r="C9" s="0" t="str">
        <f aca="false">IFERROR(__xludf.dummyfunction("""COMPUTED_VALUE"""),"Нариман")</f>
        <v>Нариман</v>
      </c>
      <c r="D9" s="0" t="n">
        <f aca="false">IFERROR(__xludf.dummyfunction("""COMPUTED_VALUE"""),10)</f>
        <v>10</v>
      </c>
      <c r="E9" s="0" t="n">
        <f aca="false">IFERROR(__xludf.dummyfunction("""COMPUTED_VALUE"""),62)</f>
        <v>62</v>
      </c>
      <c r="M9" s="0" t="str">
        <f aca="false">IFERROR(__xludf.dummyfunction("""COMPUTED_VALUE"""),"будет")</f>
        <v>будет</v>
      </c>
    </row>
    <row r="10" customFormat="false" ht="15.75" hidden="false" customHeight="false" outlineLevel="0" collapsed="false">
      <c r="A10" s="21" t="n">
        <f aca="false">IF(NOT(ISBLANK(B9:B10)), ROW()-3,"")</f>
        <v>7</v>
      </c>
      <c r="B10" s="0" t="str">
        <f aca="false">IFERROR(__xludf.dummyfunction("""COMPUTED_VALUE"""),"Голозов")</f>
        <v>Голозов</v>
      </c>
      <c r="C10" s="0" t="str">
        <f aca="false">IFERROR(__xludf.dummyfunction("""COMPUTED_VALUE"""),"Дмитрий")</f>
        <v>Дмитрий</v>
      </c>
      <c r="D10" s="0" t="n">
        <f aca="false">IFERROR(__xludf.dummyfunction("""COMPUTED_VALUE"""),11)</f>
        <v>11</v>
      </c>
      <c r="E10" s="0" t="n">
        <f aca="false">IFERROR(__xludf.dummyfunction("""COMPUTED_VALUE"""),19)</f>
        <v>19</v>
      </c>
      <c r="M10" s="0" t="str">
        <f aca="false">IFERROR(__xludf.dummyfunction("""COMPUTED_VALUE"""),"будет")</f>
        <v>будет</v>
      </c>
      <c r="N10" s="1" t="s">
        <v>773</v>
      </c>
    </row>
    <row r="11" customFormat="false" ht="15.75" hidden="false" customHeight="false" outlineLevel="0" collapsed="false">
      <c r="A11" s="21" t="n">
        <f aca="false">IF(NOT(ISBLANK(B10:B11)), ROW()-3,"")</f>
        <v>8</v>
      </c>
      <c r="B11" s="0" t="str">
        <f aca="false">IFERROR(__xludf.dummyfunction("""COMPUTED_VALUE"""),"Мухомедишин")</f>
        <v>Мухомедишин</v>
      </c>
      <c r="C11" s="0" t="str">
        <f aca="false">IFERROR(__xludf.dummyfunction("""COMPUTED_VALUE"""),"Рустам")</f>
        <v>Рустам</v>
      </c>
      <c r="D11" s="0" t="n">
        <f aca="false">IFERROR(__xludf.dummyfunction("""COMPUTED_VALUE"""),10)</f>
        <v>10</v>
      </c>
      <c r="E11" s="0" t="n">
        <f aca="false">IFERROR(__xludf.dummyfunction("""COMPUTED_VALUE"""),62)</f>
        <v>62</v>
      </c>
      <c r="M11" s="0" t="str">
        <f aca="false">IFERROR(__xludf.dummyfunction("""COMPUTED_VALUE"""),"будет")</f>
        <v>будет</v>
      </c>
      <c r="N11" s="1" t="s">
        <v>773</v>
      </c>
    </row>
    <row r="12" customFormat="false" ht="15.75" hidden="false" customHeight="false" outlineLevel="0" collapsed="false">
      <c r="A12" s="21" t="n">
        <f aca="false">IF(NOT(ISBLANK(B11:B12)), ROW()-3,"")</f>
        <v>9</v>
      </c>
      <c r="B12" s="0" t="str">
        <f aca="false">IFERROR(__xludf.dummyfunction("""COMPUTED_VALUE"""),"Малышков")</f>
        <v>Малышков</v>
      </c>
      <c r="C12" s="0" t="str">
        <f aca="false">IFERROR(__xludf.dummyfunction("""COMPUTED_VALUE"""),"Роман")</f>
        <v>Роман</v>
      </c>
      <c r="D12" s="0" t="n">
        <f aca="false">IFERROR(__xludf.dummyfunction("""COMPUTED_VALUE"""),10)</f>
        <v>10</v>
      </c>
      <c r="E12" s="0" t="n">
        <f aca="false">IFERROR(__xludf.dummyfunction("""COMPUTED_VALUE"""),64)</f>
        <v>64</v>
      </c>
      <c r="M12" s="0" t="str">
        <f aca="false">IFERROR(__xludf.dummyfunction("""COMPUTED_VALUE"""),"будет")</f>
        <v>будет</v>
      </c>
      <c r="N12" s="1" t="s">
        <v>773</v>
      </c>
    </row>
    <row r="13" customFormat="false" ht="15.75" hidden="false" customHeight="false" outlineLevel="0" collapsed="false">
      <c r="A13" s="21" t="n">
        <f aca="false">IF(NOT(ISBLANK(B12:B13)), ROW()-3,"")</f>
        <v>10</v>
      </c>
      <c r="B13" s="0" t="str">
        <f aca="false">IFERROR(__xludf.dummyfunction("""COMPUTED_VALUE"""),"Ткач")</f>
        <v>Ткач</v>
      </c>
      <c r="C13" s="0" t="str">
        <f aca="false">IFERROR(__xludf.dummyfunction("""COMPUTED_VALUE"""),"Софья")</f>
        <v>Софья</v>
      </c>
      <c r="D13" s="0" t="n">
        <f aca="false">IFERROR(__xludf.dummyfunction("""COMPUTED_VALUE"""),9)</f>
        <v>9</v>
      </c>
      <c r="E13" s="0" t="n">
        <f aca="false">IFERROR(__xludf.dummyfunction("""COMPUTED_VALUE"""),43)</f>
        <v>43</v>
      </c>
      <c r="M13" s="0" t="str">
        <f aca="false">IFERROR(__xludf.dummyfunction("""COMPUTED_VALUE"""),"будет")</f>
        <v>будет</v>
      </c>
      <c r="N13" s="1" t="s">
        <v>773</v>
      </c>
    </row>
    <row r="14" customFormat="false" ht="15.75" hidden="false" customHeight="false" outlineLevel="0" collapsed="false">
      <c r="A14" s="21" t="n">
        <f aca="false">IF(NOT(ISBLANK(B13:B14)), ROW()-3,"")</f>
        <v>11</v>
      </c>
      <c r="B14" s="0" t="str">
        <f aca="false">IFERROR(__xludf.dummyfunction("""COMPUTED_VALUE"""),"Валитов")</f>
        <v>Валитов</v>
      </c>
      <c r="C14" s="0" t="str">
        <f aca="false">IFERROR(__xludf.dummyfunction("""COMPUTED_VALUE"""),"Андрей")</f>
        <v>Андрей</v>
      </c>
      <c r="D14" s="0" t="n">
        <f aca="false">IFERROR(__xludf.dummyfunction("""COMPUTED_VALUE"""),10)</f>
        <v>10</v>
      </c>
      <c r="E14" s="0" t="n">
        <f aca="false">IFERROR(__xludf.dummyfunction("""COMPUTED_VALUE"""),166)</f>
        <v>166</v>
      </c>
      <c r="M14" s="0" t="str">
        <f aca="false">IFERROR(__xludf.dummyfunction("""COMPUTED_VALUE"""),"будет")</f>
        <v>будет</v>
      </c>
    </row>
    <row r="15" customFormat="false" ht="15.75" hidden="false" customHeight="false" outlineLevel="0" collapsed="false">
      <c r="A15" s="21" t="n">
        <f aca="false">IF(NOT(ISBLANK(B14:B15)), ROW()-3,"")</f>
        <v>12</v>
      </c>
      <c r="B15" s="0" t="str">
        <f aca="false">IFERROR(__xludf.dummyfunction("""COMPUTED_VALUE"""),"Матчин")</f>
        <v>Матчин</v>
      </c>
      <c r="C15" s="0" t="str">
        <f aca="false">IFERROR(__xludf.dummyfunction("""COMPUTED_VALUE"""),"Артемий")</f>
        <v>Артемий</v>
      </c>
      <c r="D15" s="0" t="n">
        <f aca="false">IFERROR(__xludf.dummyfunction("""COMPUTED_VALUE"""),10)</f>
        <v>10</v>
      </c>
      <c r="E15" s="0" t="n">
        <f aca="false">IFERROR(__xludf.dummyfunction("""COMPUTED_VALUE"""),166)</f>
        <v>166</v>
      </c>
      <c r="M15" s="0" t="str">
        <f aca="false">IFERROR(__xludf.dummyfunction("""COMPUTED_VALUE"""),"будет")</f>
        <v>будет</v>
      </c>
      <c r="N15" s="1" t="s">
        <v>773</v>
      </c>
    </row>
    <row r="16" customFormat="false" ht="15.75" hidden="false" customHeight="false" outlineLevel="0" collapsed="false">
      <c r="A16" s="21" t="n">
        <f aca="false">IF(NOT(ISBLANK(B15:B16)), ROW()-3,"")</f>
        <v>13</v>
      </c>
      <c r="B16" s="0" t="str">
        <f aca="false">IFERROR(__xludf.dummyfunction("""COMPUTED_VALUE"""),"Мельник")</f>
        <v>Мельник</v>
      </c>
      <c r="C16" s="0" t="str">
        <f aca="false">IFERROR(__xludf.dummyfunction("""COMPUTED_VALUE"""),"Диана")</f>
        <v>Диана</v>
      </c>
      <c r="D16" s="0" t="n">
        <f aca="false">IFERROR(__xludf.dummyfunction("""COMPUTED_VALUE"""),8)</f>
        <v>8</v>
      </c>
      <c r="E16" s="0" t="n">
        <f aca="false">IFERROR(__xludf.dummyfunction("""COMPUTED_VALUE"""),117)</f>
        <v>117</v>
      </c>
      <c r="M16" s="0" t="str">
        <f aca="false">IFERROR(__xludf.dummyfunction("""COMPUTED_VALUE"""),"будет")</f>
        <v>будет</v>
      </c>
    </row>
    <row r="17" customFormat="false" ht="15.75" hidden="false" customHeight="false" outlineLevel="0" collapsed="false">
      <c r="A17" s="21" t="n">
        <f aca="false">IF(NOT(ISBLANK(B16:B17)), ROW()-3,"")</f>
        <v>14</v>
      </c>
      <c r="B17" s="0" t="str">
        <f aca="false">IFERROR(__xludf.dummyfunction("""COMPUTED_VALUE"""),"Малиновский")</f>
        <v>Малиновский</v>
      </c>
      <c r="C17" s="0" t="str">
        <f aca="false">IFERROR(__xludf.dummyfunction("""COMPUTED_VALUE"""),"Илья")</f>
        <v>Илья</v>
      </c>
      <c r="D17" s="0" t="n">
        <f aca="false">IFERROR(__xludf.dummyfunction("""COMPUTED_VALUE"""),10)</f>
        <v>10</v>
      </c>
      <c r="E17" s="0" t="n">
        <f aca="false">IFERROR(__xludf.dummyfunction("""COMPUTED_VALUE"""),117)</f>
        <v>117</v>
      </c>
      <c r="M17" s="0" t="str">
        <f aca="false">IFERROR(__xludf.dummyfunction("""COMPUTED_VALUE"""),"будет")</f>
        <v>будет</v>
      </c>
      <c r="N17" s="1" t="s">
        <v>773</v>
      </c>
    </row>
    <row r="18" customFormat="false" ht="15.75" hidden="false" customHeight="false" outlineLevel="0" collapsed="false">
      <c r="A18" s="21" t="n">
        <f aca="false">IF(NOT(ISBLANK(B17:B18)), ROW()-3,"")</f>
        <v>15</v>
      </c>
      <c r="B18" s="0" t="str">
        <f aca="false">IFERROR(__xludf.dummyfunction("""COMPUTED_VALUE"""),"Братухина")</f>
        <v>Братухина</v>
      </c>
      <c r="C18" s="0" t="str">
        <f aca="false">IFERROR(__xludf.dummyfunction("""COMPUTED_VALUE"""),"Альбина")</f>
        <v>Альбина</v>
      </c>
      <c r="D18" s="0" t="n">
        <f aca="false">IFERROR(__xludf.dummyfunction("""COMPUTED_VALUE"""),9)</f>
        <v>9</v>
      </c>
      <c r="E18" s="0" t="n">
        <f aca="false">IFERROR(__xludf.dummyfunction("""COMPUTED_VALUE"""),139)</f>
        <v>139</v>
      </c>
      <c r="M18" s="0" t="str">
        <f aca="false">IFERROR(__xludf.dummyfunction("""COMPUTED_VALUE"""),"будет")</f>
        <v>будет</v>
      </c>
      <c r="N18" s="1" t="s">
        <v>773</v>
      </c>
    </row>
    <row r="19" customFormat="false" ht="15.75" hidden="false" customHeight="false" outlineLevel="0" collapsed="false">
      <c r="A19" s="21" t="str">
        <f aca="false">IF(NOT(ISBLANK(B18:B19)), ROW()-3,"")</f>
        <v/>
      </c>
    </row>
    <row r="20" customFormat="false" ht="15.75" hidden="false" customHeight="false" outlineLevel="0" collapsed="false">
      <c r="A20" s="21" t="str">
        <f aca="false">IF(NOT(ISBLANK(B19:B20)), ROW()-3,"")</f>
        <v/>
      </c>
      <c r="N20" s="1" t="s">
        <v>773</v>
      </c>
    </row>
    <row r="21" customFormat="false" ht="15.75" hidden="false" customHeight="false" outlineLevel="0" collapsed="false">
      <c r="A21" s="21" t="str">
        <f aca="false">IF(NOT(ISBLANK(B20:B21)), ROW()-3,"")</f>
        <v/>
      </c>
    </row>
    <row r="22" customFormat="false" ht="15.75" hidden="false" customHeight="false" outlineLevel="0" collapsed="false">
      <c r="A22" s="21" t="str">
        <f aca="false">IF(NOT(ISBLANK(B21:B22)), ROW()-3,"")</f>
        <v/>
      </c>
      <c r="N22" s="1" t="s">
        <v>773</v>
      </c>
    </row>
    <row r="23" customFormat="false" ht="15.75" hidden="false" customHeight="false" outlineLevel="0" collapsed="false">
      <c r="A23" s="21" t="str">
        <f aca="false">IF(NOT(ISBLANK(B22:B23)), ROW()-3,"")</f>
        <v/>
      </c>
      <c r="N23" s="1" t="s">
        <v>773</v>
      </c>
    </row>
    <row r="24" customFormat="false" ht="15.75" hidden="false" customHeight="false" outlineLevel="0" collapsed="false">
      <c r="A24" s="21" t="str">
        <f aca="false">IF(NOT(ISBLANK(B23:B24)), ROW()-3,"")</f>
        <v/>
      </c>
      <c r="N24" s="1" t="s">
        <v>773</v>
      </c>
    </row>
    <row r="25" customFormat="false" ht="15.75" hidden="false" customHeight="false" outlineLevel="0" collapsed="false">
      <c r="A25" s="21" t="str">
        <f aca="false">IF(NOT(ISBLANK(B24:B25)), ROW()-3,"")</f>
        <v/>
      </c>
      <c r="N25" s="1" t="s">
        <v>773</v>
      </c>
    </row>
    <row r="26" customFormat="false" ht="15.75" hidden="false" customHeight="false" outlineLevel="0" collapsed="false">
      <c r="A26" s="21" t="str">
        <f aca="false">IF(NOT(ISBLANK(B25:B26)), ROW()-3,"")</f>
        <v/>
      </c>
      <c r="N26" s="1" t="s">
        <v>773</v>
      </c>
    </row>
    <row r="27" customFormat="false" ht="15.75" hidden="false" customHeight="false" outlineLevel="0" collapsed="false">
      <c r="A27" s="21" t="str">
        <f aca="false">IF(NOT(ISBLANK(B26:B27)), ROW()-3,"")</f>
        <v/>
      </c>
      <c r="N27" s="1" t="s">
        <v>773</v>
      </c>
    </row>
    <row r="28" customFormat="false" ht="15.75" hidden="false" customHeight="false" outlineLevel="0" collapsed="false">
      <c r="A28" s="21" t="str">
        <f aca="false">IF(NOT(ISBLANK(B27:B28)), ROW()-3,"")</f>
        <v/>
      </c>
      <c r="N28" s="1" t="s">
        <v>773</v>
      </c>
    </row>
    <row r="29" customFormat="false" ht="15.75" hidden="false" customHeight="false" outlineLevel="0" collapsed="false">
      <c r="A29" s="21" t="str">
        <f aca="false">IF(NOT(ISBLANK(B28:B29)), ROW()-3,"")</f>
        <v/>
      </c>
      <c r="N29" s="1" t="s">
        <v>773</v>
      </c>
    </row>
    <row r="30" customFormat="false" ht="15.75" hidden="false" customHeight="false" outlineLevel="0" collapsed="false">
      <c r="A30" s="21" t="str">
        <f aca="false">IF(NOT(ISBLANK(B29:B30)), ROW()-3,"")</f>
        <v/>
      </c>
      <c r="N30" s="1" t="s">
        <v>773</v>
      </c>
    </row>
    <row r="31" customFormat="false" ht="15.75" hidden="false" customHeight="false" outlineLevel="0" collapsed="false">
      <c r="A31" s="21" t="str">
        <f aca="false">IF(NOT(ISBLANK(B30:B31)), ROW()-3,"")</f>
        <v/>
      </c>
    </row>
    <row r="32" customFormat="false" ht="15.75" hidden="false" customHeight="false" outlineLevel="0" collapsed="false">
      <c r="A32" s="21" t="str">
        <f aca="false">IF(NOT(ISBLANK(B31:B32)), ROW()-3,"")</f>
        <v/>
      </c>
    </row>
    <row r="33" customFormat="false" ht="15.75" hidden="false" customHeight="false" outlineLevel="0" collapsed="false">
      <c r="A33" s="21" t="str">
        <f aca="false">IF(NOT(ISBLANK(B32:B33)), ROW()-3,"")</f>
        <v/>
      </c>
    </row>
    <row r="34" customFormat="false" ht="15.75" hidden="false" customHeight="false" outlineLevel="0" collapsed="false">
      <c r="A34" s="21" t="str">
        <f aca="false">IF(NOT(ISBLANK(B33:B34)), ROW()-3,"")</f>
        <v/>
      </c>
    </row>
    <row r="35" customFormat="false" ht="15.75" hidden="false" customHeight="false" outlineLevel="0" collapsed="false">
      <c r="A35" s="21" t="str">
        <f aca="false">IF(NOT(ISBLANK(B34:B35)), ROW()-3,"")</f>
        <v/>
      </c>
    </row>
    <row r="36" customFormat="false" ht="15.75" hidden="false" customHeight="false" outlineLevel="0" collapsed="false">
      <c r="A36" s="21" t="str">
        <f aca="false">IF(NOT(ISBLANK(B35:B36)), ROW()-3,"")</f>
        <v/>
      </c>
    </row>
    <row r="37" customFormat="false" ht="15.75" hidden="false" customHeight="false" outlineLevel="0" collapsed="false">
      <c r="A37" s="21" t="str">
        <f aca="false">IF(NOT(ISBLANK(B36:B37)), ROW()-3,"")</f>
        <v/>
      </c>
    </row>
    <row r="38" customFormat="false" ht="15.75" hidden="false" customHeight="false" outlineLevel="0" collapsed="false">
      <c r="A38" s="21" t="str">
        <f aca="false">IF(NOT(ISBLANK(B37:B38)), ROW()-3,"")</f>
        <v/>
      </c>
    </row>
    <row r="39" customFormat="false" ht="15.75" hidden="false" customHeight="false" outlineLevel="0" collapsed="false">
      <c r="A39" s="21" t="str">
        <f aca="false">IF(NOT(ISBLANK(B38:B39)), ROW()-3,"")</f>
        <v/>
      </c>
    </row>
    <row r="40" customFormat="false" ht="15.75" hidden="false" customHeight="false" outlineLevel="0" collapsed="false">
      <c r="A40" s="21" t="str">
        <f aca="false">IF(NOT(ISBLANK(B39:B40)), ROW()-3,"")</f>
        <v/>
      </c>
    </row>
    <row r="41" customFormat="false" ht="15.75" hidden="false" customHeight="false" outlineLevel="0" collapsed="false">
      <c r="A41" s="21" t="str">
        <f aca="false">IF(NOT(ISBLANK(B40:B41)), ROW()-3,"")</f>
        <v/>
      </c>
    </row>
    <row r="42" customFormat="false" ht="15.75" hidden="false" customHeight="false" outlineLevel="0" collapsed="false">
      <c r="A42" s="21" t="str">
        <f aca="false">IF(NOT(ISBLANK(B41:B42)), ROW()-3,"")</f>
        <v/>
      </c>
    </row>
    <row r="43" customFormat="false" ht="15.75" hidden="false" customHeight="false" outlineLevel="0" collapsed="false">
      <c r="A43" s="21" t="str">
        <f aca="false">IF(NOT(ISBLANK(B42:B43)), ROW()-3,"")</f>
        <v/>
      </c>
    </row>
  </sheetData>
  <mergeCells count="1">
    <mergeCell ref="A2:C2"/>
  </mergeCells>
  <dataValidations count="1">
    <dataValidation allowBlank="true" errorStyle="stop" operator="between" showDropDown="false" showErrorMessage="true" showInputMessage="false" sqref="A2" type="list">
      <formula1>Статистика!$A$2:$A$12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15.71"/>
    <col collapsed="false" customWidth="true" hidden="false" outlineLevel="0" max="4" min="4" style="0" width="7.87"/>
    <col collapsed="false" customWidth="true" hidden="false" outlineLevel="0" max="5" min="5" style="0" width="9.29"/>
    <col collapsed="false" customWidth="true" hidden="false" outlineLevel="0" max="6" min="6" style="0" width="6.88"/>
    <col collapsed="false" customWidth="true" hidden="false" outlineLevel="0" max="7" min="7" style="0" width="8"/>
    <col collapsed="false" customWidth="true" hidden="true" outlineLevel="0" max="8" min="8" style="0" width="16.87"/>
    <col collapsed="false" customWidth="false" hidden="true" outlineLevel="0" max="9" min="9" style="0" width="14.43"/>
    <col collapsed="false" customWidth="true" hidden="false" outlineLevel="0" max="10" min="10" style="0" width="23.29"/>
    <col collapsed="false" customWidth="true" hidden="false" outlineLevel="0" max="11" min="11" style="0" width="27.86"/>
    <col collapsed="false" customWidth="true" hidden="false" outlineLevel="0" max="12" min="12" style="0" width="9.86"/>
    <col collapsed="false" customWidth="true" hidden="false" outlineLevel="0" max="18" min="18" style="0" width="6.88"/>
  </cols>
  <sheetData>
    <row r="1" customFormat="false" ht="15.75" hidden="false" customHeight="false" outlineLevel="0" collapsed="false"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.75" hidden="false" customHeight="false" outlineLevel="0" collapsed="false">
      <c r="A2" s="0" t="n">
        <v>1</v>
      </c>
      <c r="B2" s="0" t="s">
        <v>35</v>
      </c>
      <c r="C2" s="0" t="s">
        <v>36</v>
      </c>
      <c r="D2" s="0" t="n">
        <v>9</v>
      </c>
      <c r="E2" s="0" t="n">
        <v>117</v>
      </c>
    </row>
    <row r="3" customFormat="false" ht="15.75" hidden="false" customHeight="false" outlineLevel="0" collapsed="false">
      <c r="A3" s="0" t="n">
        <v>2</v>
      </c>
      <c r="B3" s="0" t="s">
        <v>143</v>
      </c>
      <c r="C3" s="0" t="s">
        <v>144</v>
      </c>
      <c r="D3" s="0" t="n">
        <v>8</v>
      </c>
      <c r="E3" s="0" t="n">
        <v>117</v>
      </c>
    </row>
    <row r="4" customFormat="false" ht="15.75" hidden="false" customHeight="false" outlineLevel="0" collapsed="false">
      <c r="A4" s="0" t="n">
        <v>3</v>
      </c>
      <c r="B4" s="0" t="s">
        <v>268</v>
      </c>
      <c r="C4" s="0" t="s">
        <v>237</v>
      </c>
      <c r="D4" s="0" t="n">
        <v>8</v>
      </c>
      <c r="E4" s="0" t="n">
        <v>117</v>
      </c>
    </row>
    <row r="5" customFormat="false" ht="15.75" hidden="false" customHeight="false" outlineLevel="0" collapsed="false">
      <c r="A5" s="0" t="n">
        <v>4</v>
      </c>
      <c r="B5" s="0" t="s">
        <v>308</v>
      </c>
      <c r="C5" s="0" t="s">
        <v>155</v>
      </c>
      <c r="D5" s="0" t="n">
        <v>8</v>
      </c>
      <c r="E5" s="0" t="n">
        <v>139</v>
      </c>
    </row>
    <row r="6" customFormat="false" ht="15.75" hidden="false" customHeight="false" outlineLevel="0" collapsed="false">
      <c r="A6" s="0" t="n">
        <v>5</v>
      </c>
      <c r="B6" s="0" t="s">
        <v>322</v>
      </c>
      <c r="C6" s="0" t="s">
        <v>286</v>
      </c>
      <c r="D6" s="0" t="n">
        <v>8</v>
      </c>
      <c r="E6" s="0" t="n">
        <v>149</v>
      </c>
    </row>
    <row r="7" customFormat="false" ht="15.75" hidden="false" customHeight="false" outlineLevel="0" collapsed="false">
      <c r="A7" s="0" t="n">
        <v>6</v>
      </c>
      <c r="B7" s="0" t="s">
        <v>421</v>
      </c>
      <c r="C7" s="0" t="s">
        <v>31</v>
      </c>
      <c r="D7" s="0" t="n">
        <v>8</v>
      </c>
      <c r="E7" s="0" t="n">
        <v>117</v>
      </c>
    </row>
    <row r="8" customFormat="false" ht="15.75" hidden="false" customHeight="false" outlineLevel="0" collapsed="false">
      <c r="A8" s="0" t="n">
        <v>7</v>
      </c>
      <c r="B8" s="0" t="s">
        <v>424</v>
      </c>
      <c r="C8" s="0" t="s">
        <v>237</v>
      </c>
      <c r="D8" s="0" t="n">
        <v>9</v>
      </c>
      <c r="E8" s="0" t="n">
        <v>117</v>
      </c>
    </row>
    <row r="9" customFormat="false" ht="15.75" hidden="false" customHeight="false" outlineLevel="0" collapsed="false">
      <c r="A9" s="0" t="n">
        <v>8</v>
      </c>
      <c r="B9" s="0" t="s">
        <v>469</v>
      </c>
      <c r="C9" s="0" t="s">
        <v>442</v>
      </c>
      <c r="D9" s="0" t="n">
        <v>9</v>
      </c>
      <c r="E9" s="0" t="n">
        <v>139</v>
      </c>
    </row>
    <row r="10" customFormat="false" ht="15.75" hidden="false" customHeight="false" outlineLevel="0" collapsed="false">
      <c r="A10" s="0" t="n">
        <v>9</v>
      </c>
      <c r="B10" s="0" t="s">
        <v>536</v>
      </c>
      <c r="C10" s="0" t="s">
        <v>537</v>
      </c>
      <c r="D10" s="0" t="n">
        <v>8</v>
      </c>
      <c r="E10" s="0" t="n">
        <v>117</v>
      </c>
    </row>
    <row r="11" customFormat="false" ht="15.75" hidden="false" customHeight="false" outlineLevel="0" collapsed="false">
      <c r="A11" s="0" t="n">
        <v>10</v>
      </c>
      <c r="B11" s="0" t="s">
        <v>589</v>
      </c>
      <c r="C11" s="0" t="s">
        <v>383</v>
      </c>
      <c r="D11" s="0" t="n">
        <v>8</v>
      </c>
      <c r="E11" s="0" t="n">
        <v>117</v>
      </c>
    </row>
    <row r="12" customFormat="false" ht="15.75" hidden="false" customHeight="false" outlineLevel="0" collapsed="false">
      <c r="A12" s="0" t="n">
        <v>11</v>
      </c>
      <c r="B12" s="0" t="s">
        <v>602</v>
      </c>
      <c r="C12" s="0" t="s">
        <v>237</v>
      </c>
      <c r="D12" s="0" t="n">
        <v>8</v>
      </c>
      <c r="E12" s="0" t="n">
        <v>123</v>
      </c>
    </row>
    <row r="13" customFormat="false" ht="15.75" hidden="false" customHeight="false" outlineLevel="0" collapsed="false">
      <c r="A13" s="0" t="n">
        <v>12</v>
      </c>
      <c r="B13" s="0" t="s">
        <v>619</v>
      </c>
      <c r="C13" s="0" t="s">
        <v>251</v>
      </c>
      <c r="D13" s="0" t="n">
        <v>10</v>
      </c>
      <c r="E13" s="0" t="n">
        <v>19</v>
      </c>
    </row>
    <row r="14" customFormat="false" ht="15.75" hidden="false" customHeight="false" outlineLevel="0" collapsed="false">
      <c r="A14" s="0" t="n">
        <v>13</v>
      </c>
      <c r="B14" s="0" t="s">
        <v>631</v>
      </c>
      <c r="C14" s="0" t="s">
        <v>124</v>
      </c>
      <c r="D14" s="0" t="n">
        <v>7</v>
      </c>
      <c r="E14" s="0" t="n">
        <v>64</v>
      </c>
    </row>
    <row r="15" customFormat="false" ht="15.75" hidden="false" customHeight="false" outlineLevel="0" collapsed="false">
      <c r="A15" s="0" t="n">
        <v>14</v>
      </c>
      <c r="B15" s="0" t="s">
        <v>639</v>
      </c>
      <c r="C15" s="0" t="s">
        <v>403</v>
      </c>
      <c r="D15" s="0" t="n">
        <v>10</v>
      </c>
      <c r="E15" s="0" t="n">
        <v>117</v>
      </c>
    </row>
    <row r="16" customFormat="false" ht="15.75" hidden="false" customHeight="false" outlineLevel="0" collapsed="false">
      <c r="A16" s="0" t="n">
        <v>15</v>
      </c>
      <c r="B16" s="0" t="s">
        <v>611</v>
      </c>
      <c r="C16" s="0" t="s">
        <v>345</v>
      </c>
      <c r="D16" s="0" t="n">
        <v>8</v>
      </c>
      <c r="E16" s="0" t="n">
        <v>166</v>
      </c>
    </row>
    <row r="17" customFormat="false" ht="15.75" hidden="false" customHeight="false" outlineLevel="0" collapsed="false">
      <c r="A17" s="0" t="n">
        <v>16</v>
      </c>
      <c r="B17" s="0" t="s">
        <v>661</v>
      </c>
      <c r="C17" s="0" t="s">
        <v>61</v>
      </c>
      <c r="D17" s="0" t="n">
        <v>8</v>
      </c>
      <c r="E17" s="0" t="n">
        <v>19</v>
      </c>
    </row>
    <row r="18" customFormat="false" ht="15.75" hidden="false" customHeight="false" outlineLevel="0" collapsed="false">
      <c r="A18" s="0" t="n">
        <v>17</v>
      </c>
      <c r="B18" s="0" t="s">
        <v>732</v>
      </c>
      <c r="C18" s="0" t="s">
        <v>593</v>
      </c>
      <c r="D18" s="0" t="n">
        <v>7</v>
      </c>
      <c r="E18" s="0" t="n">
        <v>117</v>
      </c>
    </row>
    <row r="19" customFormat="false" ht="15.75" hidden="false" customHeight="false" outlineLevel="0" collapsed="false">
      <c r="A19" s="0" t="n">
        <v>18</v>
      </c>
      <c r="B19" s="0" t="s">
        <v>729</v>
      </c>
      <c r="C19" s="0" t="s">
        <v>730</v>
      </c>
      <c r="D19" s="0" t="n">
        <v>9</v>
      </c>
      <c r="E19" s="0" t="n">
        <v>115</v>
      </c>
    </row>
    <row r="20" customFormat="false" ht="15.75" hidden="false" customHeight="false" outlineLevel="0" collapsed="false">
      <c r="A20" s="0" t="n">
        <v>19</v>
      </c>
      <c r="B20" s="0" t="s">
        <v>426</v>
      </c>
      <c r="C20" s="0" t="s">
        <v>71</v>
      </c>
      <c r="D20" s="0" t="n">
        <v>7</v>
      </c>
      <c r="E20" s="0" t="n">
        <v>117</v>
      </c>
    </row>
    <row r="21" customFormat="false" ht="15.75" hidden="false" customHeight="false" outlineLevel="0" collapsed="false">
      <c r="A21" s="0" t="n">
        <v>20</v>
      </c>
      <c r="B21" s="0" t="s">
        <v>715</v>
      </c>
      <c r="C21" s="0" t="s">
        <v>593</v>
      </c>
      <c r="D21" s="0" t="n">
        <v>8</v>
      </c>
      <c r="E21" s="0" t="n">
        <v>25</v>
      </c>
    </row>
    <row r="23" customFormat="false" ht="15.75" hidden="false" customHeight="false" outlineLevel="0" collapsed="false">
      <c r="A23" s="21"/>
    </row>
    <row r="24" customFormat="false" ht="15.75" hidden="false" customHeight="false" outlineLevel="0" collapsed="false">
      <c r="A24" s="21"/>
    </row>
    <row r="25" customFormat="false" ht="15.75" hidden="false" customHeight="false" outlineLevel="0" collapsed="false">
      <c r="A25" s="21"/>
    </row>
    <row r="26" customFormat="false" ht="15.75" hidden="false" customHeight="false" outlineLevel="0" collapsed="false">
      <c r="A26" s="21"/>
    </row>
    <row r="27" customFormat="false" ht="15.75" hidden="false" customHeight="false" outlineLevel="0" collapsed="false">
      <c r="A27" s="21"/>
    </row>
    <row r="28" customFormat="false" ht="15.75" hidden="false" customHeight="false" outlineLevel="0" collapsed="false">
      <c r="A28" s="21"/>
    </row>
    <row r="29" customFormat="false" ht="15.75" hidden="false" customHeight="false" outlineLevel="0" collapsed="false">
      <c r="A29" s="21"/>
    </row>
    <row r="30" customFormat="false" ht="15.75" hidden="false" customHeight="false" outlineLevel="0" collapsed="false">
      <c r="A30" s="21" t="str">
        <f aca="false">IF(NOT(ISBLANK(B29:B30)), ROW()-3,"")</f>
        <v/>
      </c>
    </row>
    <row r="31" customFormat="false" ht="15.75" hidden="false" customHeight="false" outlineLevel="0" collapsed="false">
      <c r="A31" s="21" t="str">
        <f aca="false">IF(NOT(ISBLANK(B30:B31)), ROW()-3,"")</f>
        <v/>
      </c>
    </row>
    <row r="32" customFormat="false" ht="15.75" hidden="false" customHeight="false" outlineLevel="0" collapsed="false">
      <c r="A32" s="21" t="str">
        <f aca="false">IF(NOT(ISBLANK(B31:B32)), ROW()-3,"")</f>
        <v/>
      </c>
    </row>
    <row r="33" customFormat="false" ht="15.75" hidden="false" customHeight="false" outlineLevel="0" collapsed="false">
      <c r="A33" s="21" t="str">
        <f aca="false">IF(NOT(ISBLANK(B32:B33)), ROW()-3,"")</f>
        <v/>
      </c>
    </row>
    <row r="34" customFormat="false" ht="15.75" hidden="false" customHeight="false" outlineLevel="0" collapsed="false">
      <c r="A34" s="21" t="str">
        <f aca="false">IF(NOT(ISBLANK(B33:B34)), ROW()-3,"")</f>
        <v/>
      </c>
    </row>
    <row r="35" customFormat="false" ht="15.75" hidden="false" customHeight="false" outlineLevel="0" collapsed="false">
      <c r="A35" s="21" t="str">
        <f aca="false">IF(NOT(ISBLANK(B34:B35)), ROW()-3,"")</f>
        <v/>
      </c>
    </row>
    <row r="36" customFormat="false" ht="15.75" hidden="false" customHeight="false" outlineLevel="0" collapsed="false">
      <c r="A36" s="21" t="str">
        <f aca="false">IF(NOT(ISBLANK(B35:B36)), ROW()-3,"")</f>
        <v/>
      </c>
    </row>
    <row r="37" customFormat="false" ht="15.75" hidden="false" customHeight="false" outlineLevel="0" collapsed="false">
      <c r="A37" s="21" t="str">
        <f aca="false">IF(NOT(ISBLANK(B36:B37)), ROW()-3,"")</f>
        <v/>
      </c>
    </row>
    <row r="38" customFormat="false" ht="15.75" hidden="false" customHeight="false" outlineLevel="0" collapsed="false">
      <c r="A38" s="21" t="str">
        <f aca="false">IF(NOT(ISBLANK(B37:B38)), ROW()-3,"")</f>
        <v/>
      </c>
    </row>
    <row r="39" customFormat="false" ht="15.75" hidden="false" customHeight="false" outlineLevel="0" collapsed="false">
      <c r="A39" s="21" t="str">
        <f aca="false">IF(NOT(ISBLANK(B38:B39)), ROW()-3,"")</f>
        <v/>
      </c>
    </row>
    <row r="40" customFormat="false" ht="15.75" hidden="false" customHeight="false" outlineLevel="0" collapsed="false">
      <c r="A40" s="21" t="str">
        <f aca="false">IF(NOT(ISBLANK(B39:B40)), ROW()-3,"")</f>
        <v/>
      </c>
    </row>
    <row r="41" customFormat="false" ht="15.75" hidden="false" customHeight="false" outlineLevel="0" collapsed="false">
      <c r="A41" s="21" t="str">
        <f aca="false">IF(NOT(ISBLANK(B40:B41)), ROW()-3,"")</f>
        <v/>
      </c>
    </row>
    <row r="42" customFormat="false" ht="15.75" hidden="false" customHeight="false" outlineLevel="0" collapsed="false">
      <c r="A42" s="21" t="str">
        <f aca="false">IF(NOT(ISBLANK(B41:B42)), ROW()-3,"")</f>
        <v/>
      </c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3.14"/>
    <col collapsed="false" customWidth="true" hidden="false" outlineLevel="0" max="5" min="5" style="0" width="5.14"/>
    <col collapsed="false" customWidth="true" hidden="false" outlineLevel="0" max="6" min="6" style="0" width="6.88"/>
    <col collapsed="false" customWidth="true" hidden="false" outlineLevel="0" max="8" min="8" style="0" width="16.87"/>
    <col collapsed="false" customWidth="true" hidden="false" outlineLevel="0" max="10" min="10" style="0" width="29.14"/>
    <col collapsed="false" customWidth="true" hidden="false" outlineLevel="0" max="11" min="11" style="0" width="12.29"/>
    <col collapsed="false" customWidth="true" hidden="false" outlineLevel="0" max="12" min="12" style="0" width="10.43"/>
  </cols>
  <sheetData>
    <row r="1" customFormat="false" ht="15.75" hidden="false" customHeight="false" outlineLevel="0" collapsed="false">
      <c r="A1" s="17" t="s">
        <v>774</v>
      </c>
    </row>
    <row r="2" customFormat="false" ht="15.75" hidden="false" customHeight="false" outlineLevel="0" collapsed="false">
      <c r="A2" s="37" t="s">
        <v>15</v>
      </c>
      <c r="B2" s="37"/>
      <c r="C2" s="37"/>
    </row>
    <row r="3" customFormat="false" ht="15.75" hidden="false" customHeight="false" outlineLevel="0" collapsed="false">
      <c r="B3" s="0" t="s">
        <v>678</v>
      </c>
      <c r="C3" s="0" t="s">
        <v>1</v>
      </c>
      <c r="D3" s="0" t="s">
        <v>2</v>
      </c>
      <c r="E3" s="0" t="s">
        <v>3</v>
      </c>
      <c r="F3" s="0" t="s">
        <v>4</v>
      </c>
      <c r="G3" s="0" t="s">
        <v>5</v>
      </c>
      <c r="H3" s="0" t="s">
        <v>679</v>
      </c>
      <c r="I3" s="0" t="s">
        <v>7</v>
      </c>
      <c r="J3" s="0" t="s">
        <v>8</v>
      </c>
      <c r="K3" s="0" t="s">
        <v>9</v>
      </c>
      <c r="L3" s="1" t="s">
        <v>680</v>
      </c>
      <c r="M3" s="1" t="s">
        <v>682</v>
      </c>
    </row>
    <row r="4" customFormat="false" ht="15.75" hidden="false" customHeight="false" outlineLevel="0" collapsed="false">
      <c r="A4" s="21" t="n">
        <f aca="false">IF(NOT(ISBLANK(B3:B4)), ROW()-3,"")</f>
        <v>1</v>
      </c>
      <c r="B4" s="11" t="n">
        <f aca="false">IFERROR(__xludf.dummyfunction("FILTER('Переформатированный ответ'!$A$2:$K$179,ARRAYFORMULA((('Переформатированный ответ'!$J$2:$J$179 = A2)+('Переформатированный ответ'!$M$2:$M$179 &gt;-1)) = 2))"),43219.7789290972)</f>
        <v>43219.77893</v>
      </c>
      <c r="C4" s="0" t="str">
        <f aca="false">IFERROR(__xludf.dummyfunction("""COMPUTED_VALUE"""),"Гарбуз ")</f>
        <v>Гарбуз</v>
      </c>
      <c r="D4" s="0" t="str">
        <f aca="false">IFERROR(__xludf.dummyfunction("""COMPUTED_VALUE"""),"Арина ")</f>
        <v>Арина</v>
      </c>
      <c r="E4" s="0" t="n">
        <f aca="false">IFERROR(__xludf.dummyfunction("""COMPUTED_VALUE"""),8)</f>
        <v>8</v>
      </c>
      <c r="F4" s="0" t="n">
        <f aca="false">IFERROR(__xludf.dummyfunction("""COMPUTED_VALUE"""),98)</f>
        <v>98</v>
      </c>
      <c r="H4" s="12" t="str">
        <f aca="false">IFERROR(__xludf.dummyfunction("""COMPUTED_VALUE"""),"vk.com/agarbus2003")</f>
        <v>vk.com/agarbus2003</v>
      </c>
      <c r="I4" s="0" t="str">
        <f aca="false">IFERROR(__xludf.dummyfunction("""COMPUTED_VALUE"""),"gaa7086@gmail.com")</f>
        <v>gaa7086@gmail.com</v>
      </c>
      <c r="J4" s="0" t="str">
        <f aca="false">IFERROR(__xludf.dummyfunction("""COMPUTED_VALUE"""),"Социология")</f>
        <v>Социология</v>
      </c>
      <c r="K4" s="0" t="str">
        <f aca="false">IFERROR(__xludf.dummyfunction("""COMPUTED_VALUE"""),"Биология")</f>
        <v>Биология</v>
      </c>
      <c r="L4" s="0" t="str">
        <f aca="false">IFERROR(__xludf.dummyfunction("""COMPUTED_VALUE"""),"Да")</f>
        <v>Да</v>
      </c>
      <c r="M4" s="1" t="str">
        <f aca="false">IFERROR(__xludf.dummyfunction("ARRAYFORMULA(IF(FILTER('Переформатированный ответ'!$M$2:$M$179,ARRAYFORMULA((('Переформатированный ответ'!$J$2:$J$179 = A2)+('Переформатированный ответ'!$M$2:$M$179 &gt;-1)) = 2)) = 2,""будет"",""неизвестно""))"),"будет")</f>
        <v>будет</v>
      </c>
    </row>
    <row r="5" customFormat="false" ht="15.75" hidden="false" customHeight="false" outlineLevel="0" collapsed="false">
      <c r="A5" s="21" t="n">
        <f aca="false">IF(NOT(ISBLANK(B4:B5)), ROW()-3,"")</f>
        <v>2</v>
      </c>
      <c r="B5" s="11" t="n">
        <f aca="false">IFERROR(__xludf.dummyfunction("""COMPUTED_VALUE"""),43219.7964826852)</f>
        <v>43219.79648</v>
      </c>
      <c r="C5" s="0" t="str">
        <f aca="false">IFERROR(__xludf.dummyfunction("""COMPUTED_VALUE"""),"Гнедина")</f>
        <v>Гнедина</v>
      </c>
      <c r="D5" s="0" t="str">
        <f aca="false">IFERROR(__xludf.dummyfunction("""COMPUTED_VALUE"""),"Ксения")</f>
        <v>Ксения</v>
      </c>
      <c r="E5" s="0" t="n">
        <f aca="false">IFERROR(__xludf.dummyfunction("""COMPUTED_VALUE"""),8)</f>
        <v>8</v>
      </c>
      <c r="F5" s="0" t="n">
        <f aca="false">IFERROR(__xludf.dummyfunction("""COMPUTED_VALUE"""),117)</f>
        <v>117</v>
      </c>
      <c r="G5" s="0" t="str">
        <f aca="false">IFERROR(__xludf.dummyfunction("""COMPUTED_VALUE"""),"Я смогу ходить в Сигму только до 15 июля. Дальше я уезжаб")</f>
        <v>Я смогу ходить в Сигму только до 15 июля. Дальше я уезжаб</v>
      </c>
      <c r="H5" s="0" t="str">
        <f aca="false">IFERROR(__xludf.dummyfunction("""COMPUTED_VALUE"""),"Нет")</f>
        <v>Нет</v>
      </c>
      <c r="I5" s="0" t="str">
        <f aca="false">IFERROR(__xludf.dummyfunction("""COMPUTED_VALUE"""),"gnedina_03@mail.ru")</f>
        <v>gnedina_03@mail.ru</v>
      </c>
      <c r="J5" s="0" t="str">
        <f aca="false">IFERROR(__xludf.dummyfunction("""COMPUTED_VALUE"""),"Социология")</f>
        <v>Социология</v>
      </c>
      <c r="K5" s="0" t="str">
        <f aca="false">IFERROR(__xludf.dummyfunction("""COMPUTED_VALUE"""),"Биология")</f>
        <v>Биология</v>
      </c>
      <c r="L5" s="0" t="str">
        <f aca="false">IFERROR(__xludf.dummyfunction("""COMPUTED_VALUE"""),"Да")</f>
        <v>Да</v>
      </c>
      <c r="M5" s="0" t="str">
        <f aca="false">IFERROR(__xludf.dummyfunction("""COMPUTED_VALUE"""),"будет")</f>
        <v>будет</v>
      </c>
    </row>
    <row r="6" customFormat="false" ht="15.75" hidden="false" customHeight="false" outlineLevel="0" collapsed="false">
      <c r="A6" s="21" t="n">
        <f aca="false">IF(NOT(ISBLANK(B5:B6)), ROW()-3,"")</f>
        <v>3</v>
      </c>
      <c r="B6" s="11" t="n">
        <f aca="false">IFERROR(__xludf.dummyfunction("""COMPUTED_VALUE"""),43219.8051531366)</f>
        <v>43219.80515</v>
      </c>
      <c r="C6" s="0" t="str">
        <f aca="false">IFERROR(__xludf.dummyfunction("""COMPUTED_VALUE"""),"Гнедина")</f>
        <v>Гнедина</v>
      </c>
      <c r="D6" s="0" t="str">
        <f aca="false">IFERROR(__xludf.dummyfunction("""COMPUTED_VALUE"""),"Юлия")</f>
        <v>Юлия</v>
      </c>
      <c r="E6" s="0" t="n">
        <f aca="false">IFERROR(__xludf.dummyfunction("""COMPUTED_VALUE"""),8)</f>
        <v>8</v>
      </c>
      <c r="F6" s="0" t="n">
        <f aca="false">IFERROR(__xludf.dummyfunction("""COMPUTED_VALUE"""),117)</f>
        <v>117</v>
      </c>
      <c r="H6" s="0" t="str">
        <f aca="false">IFERROR(__xludf.dummyfunction("""COMPUTED_VALUE"""),"Нет")</f>
        <v>Нет</v>
      </c>
      <c r="I6" s="0" t="str">
        <f aca="false">IFERROR(__xludf.dummyfunction("""COMPUTED_VALUE"""),"lula@mail.ru")</f>
        <v>lula@mail.ru</v>
      </c>
      <c r="J6" s="0" t="str">
        <f aca="false">IFERROR(__xludf.dummyfunction("""COMPUTED_VALUE"""),"Олимпиадная химия")</f>
        <v>Олимпиадная химия</v>
      </c>
      <c r="K6" s="0" t="str">
        <f aca="false">IFERROR(__xludf.dummyfunction("""COMPUTED_VALUE"""),"Биология")</f>
        <v>Биология</v>
      </c>
      <c r="L6" s="0" t="str">
        <f aca="false">IFERROR(__xludf.dummyfunction("""COMPUTED_VALUE"""),"Да")</f>
        <v>Да</v>
      </c>
      <c r="M6" s="0" t="str">
        <f aca="false">IFERROR(__xludf.dummyfunction("""COMPUTED_VALUE"""),"будет")</f>
        <v>будет</v>
      </c>
    </row>
    <row r="7" customFormat="false" ht="15.75" hidden="false" customHeight="false" outlineLevel="0" collapsed="false">
      <c r="A7" s="21" t="n">
        <f aca="false">IF(NOT(ISBLANK(B6:B7)), ROW()-3,"")</f>
        <v>4</v>
      </c>
      <c r="B7" s="11" t="n">
        <f aca="false">IFERROR(__xludf.dummyfunction("""COMPUTED_VALUE"""),43220.2120007407)</f>
        <v>43220.212</v>
      </c>
      <c r="C7" s="0" t="str">
        <f aca="false">IFERROR(__xludf.dummyfunction("""COMPUTED_VALUE"""),"Борисец ")</f>
        <v>Борисец</v>
      </c>
      <c r="D7" s="0" t="str">
        <f aca="false">IFERROR(__xludf.dummyfunction("""COMPUTED_VALUE"""),"Анастасия ")</f>
        <v>Анастасия</v>
      </c>
      <c r="E7" s="0" t="n">
        <f aca="false">IFERROR(__xludf.dummyfunction("""COMPUTED_VALUE"""),8)</f>
        <v>8</v>
      </c>
      <c r="F7" s="0" t="n">
        <f aca="false">IFERROR(__xludf.dummyfunction("""COMPUTED_VALUE"""),117)</f>
        <v>117</v>
      </c>
      <c r="H7" s="0" t="str">
        <f aca="false">IFERROR(__xludf.dummyfunction("""COMPUTED_VALUE"""),"Нет")</f>
        <v>Нет</v>
      </c>
      <c r="I7" s="0" t="str">
        <f aca="false">IFERROR(__xludf.dummyfunction("""COMPUTED_VALUE"""),"sherlock.2002@mail.ru")</f>
        <v>sherlock.2002@mail.ru</v>
      </c>
      <c r="J7" s="0" t="str">
        <f aca="false">IFERROR(__xludf.dummyfunction("""COMPUTED_VALUE"""),"Олимпиадная химия")</f>
        <v>Олимпиадная химия</v>
      </c>
      <c r="K7" s="0" t="str">
        <f aca="false">IFERROR(__xludf.dummyfunction("""COMPUTED_VALUE"""),"Биология")</f>
        <v>Биология</v>
      </c>
      <c r="L7" s="0" t="str">
        <f aca="false">IFERROR(__xludf.dummyfunction("""COMPUTED_VALUE"""),"Нет")</f>
        <v>Нет</v>
      </c>
      <c r="M7" s="0" t="str">
        <f aca="false">IFERROR(__xludf.dummyfunction("""COMPUTED_VALUE"""),"будет")</f>
        <v>будет</v>
      </c>
    </row>
    <row r="8" customFormat="false" ht="15.75" hidden="false" customHeight="false" outlineLevel="0" collapsed="false">
      <c r="A8" s="21" t="n">
        <f aca="false">IF(NOT(ISBLANK(B7:B8)), ROW()-3,"")</f>
        <v>5</v>
      </c>
      <c r="B8" s="11" t="n">
        <f aca="false">IFERROR(__xludf.dummyfunction("""COMPUTED_VALUE"""),43220.4297098148)</f>
        <v>43220.42971</v>
      </c>
      <c r="C8" s="0" t="str">
        <f aca="false">IFERROR(__xludf.dummyfunction("""COMPUTED_VALUE"""),"Свиридова ")</f>
        <v>Свиридова</v>
      </c>
      <c r="D8" s="0" t="str">
        <f aca="false">IFERROR(__xludf.dummyfunction("""COMPUTED_VALUE"""),"Мария")</f>
        <v>Мария</v>
      </c>
      <c r="E8" s="0" t="n">
        <f aca="false">IFERROR(__xludf.dummyfunction("""COMPUTED_VALUE"""),8)</f>
        <v>8</v>
      </c>
      <c r="F8" s="0" t="n">
        <f aca="false">IFERROR(__xludf.dummyfunction("""COMPUTED_VALUE"""),19)</f>
        <v>19</v>
      </c>
      <c r="H8" s="0" t="str">
        <f aca="false">IFERROR(__xludf.dummyfunction("""COMPUTED_VALUE"""),"Нет")</f>
        <v>Нет</v>
      </c>
      <c r="I8" s="0" t="str">
        <f aca="false">IFERROR(__xludf.dummyfunction("""COMPUTED_VALUE"""),"sviridova76@gmail.com")</f>
        <v>sviridova76@gmail.com</v>
      </c>
      <c r="J8" s="0" t="str">
        <f aca="false">IFERROR(__xludf.dummyfunction("""COMPUTED_VALUE"""),"Биология")</f>
        <v>Биология</v>
      </c>
      <c r="K8" s="0" t="str">
        <f aca="false">IFERROR(__xludf.dummyfunction("""COMPUTED_VALUE"""),"Биология")</f>
        <v>Биология</v>
      </c>
      <c r="L8" s="0" t="str">
        <f aca="false">IFERROR(__xludf.dummyfunction("""COMPUTED_VALUE"""),"Нет")</f>
        <v>Нет</v>
      </c>
      <c r="M8" s="0" t="str">
        <f aca="false">IFERROR(__xludf.dummyfunction("""COMPUTED_VALUE"""),"неизвестно")</f>
        <v>неизвестно</v>
      </c>
    </row>
    <row r="9" customFormat="false" ht="15.75" hidden="false" customHeight="false" outlineLevel="0" collapsed="false">
      <c r="A9" s="21" t="n">
        <f aca="false">IF(NOT(ISBLANK(B8:B9)), ROW()-3,"")</f>
        <v>6</v>
      </c>
      <c r="B9" s="11" t="n">
        <f aca="false">IFERROR(__xludf.dummyfunction("""COMPUTED_VALUE"""),43220.7867796528)</f>
        <v>43220.78678</v>
      </c>
      <c r="C9" s="0" t="str">
        <f aca="false">IFERROR(__xludf.dummyfunction("""COMPUTED_VALUE"""),"Шишова")</f>
        <v>Шишова</v>
      </c>
      <c r="D9" s="0" t="str">
        <f aca="false">IFERROR(__xludf.dummyfunction("""COMPUTED_VALUE"""),"София ")</f>
        <v>София</v>
      </c>
      <c r="E9" s="0" t="n">
        <f aca="false">IFERROR(__xludf.dummyfunction("""COMPUTED_VALUE"""),9)</f>
        <v>9</v>
      </c>
      <c r="F9" s="0" t="n">
        <f aca="false">IFERROR(__xludf.dummyfunction("""COMPUTED_VALUE"""),140)</f>
        <v>140</v>
      </c>
      <c r="H9" s="12" t="str">
        <f aca="false">IFERROR(__xludf.dummyfunction("""COMPUTED_VALUE"""),"vk.com/sshishova2000")</f>
        <v>vk.com/sshishova2000</v>
      </c>
      <c r="I9" s="0" t="str">
        <f aca="false">IFERROR(__xludf.dummyfunction("""COMPUTED_VALUE"""),"Fro-31@mail.ru")</f>
        <v>Fro-31@mail.ru</v>
      </c>
      <c r="J9" s="0" t="str">
        <f aca="false">IFERROR(__xludf.dummyfunction("""COMPUTED_VALUE"""),"Социология")</f>
        <v>Социология</v>
      </c>
      <c r="K9" s="0" t="str">
        <f aca="false">IFERROR(__xludf.dummyfunction("""COMPUTED_VALUE"""),"Биология")</f>
        <v>Биология</v>
      </c>
      <c r="L9" s="0" t="str">
        <f aca="false">IFERROR(__xludf.dummyfunction("""COMPUTED_VALUE"""),"Нет")</f>
        <v>Нет</v>
      </c>
      <c r="M9" s="0" t="str">
        <f aca="false">IFERROR(__xludf.dummyfunction("""COMPUTED_VALUE"""),"будет")</f>
        <v>будет</v>
      </c>
    </row>
    <row r="10" customFormat="false" ht="15.75" hidden="false" customHeight="false" outlineLevel="0" collapsed="false">
      <c r="A10" s="21" t="n">
        <f aca="false">IF(NOT(ISBLANK(B9:B10)), ROW()-3,"")</f>
        <v>7</v>
      </c>
      <c r="B10" s="11" t="n">
        <f aca="false">IFERROR(__xludf.dummyfunction("""COMPUTED_VALUE"""),43220.8261646296)</f>
        <v>43220.82616</v>
      </c>
      <c r="C10" s="0" t="str">
        <f aca="false">IFERROR(__xludf.dummyfunction("""COMPUTED_VALUE"""),"Янковская")</f>
        <v>Янковская</v>
      </c>
      <c r="D10" s="0" t="str">
        <f aca="false">IFERROR(__xludf.dummyfunction("""COMPUTED_VALUE"""),"Алёна")</f>
        <v>Алёна</v>
      </c>
      <c r="E10" s="0" t="n">
        <f aca="false">IFERROR(__xludf.dummyfunction("""COMPUTED_VALUE"""),10)</f>
        <v>10</v>
      </c>
      <c r="F10" s="0" t="n">
        <f aca="false">IFERROR(__xludf.dummyfunction("""COMPUTED_VALUE"""),117)</f>
        <v>117</v>
      </c>
      <c r="G10" s="0" t="str">
        <f aca="false">IFERROR(__xludf.dummyfunction("""COMPUTED_VALUE"""),"Не смогу прийти 6 июля")</f>
        <v>Не смогу прийти 6 июля</v>
      </c>
      <c r="H10" s="12" t="str">
        <f aca="false">IFERROR(__xludf.dummyfunction("""COMPUTED_VALUE"""),"vk.com/17aaaaaaaaaaaaaaaaaaaaaaaaaaaaa")</f>
        <v>vk.com/17aaaaaaaaaaaaaaaaaaaaaaaaaaaaa</v>
      </c>
      <c r="I10" s="0" t="str">
        <f aca="false">IFERROR(__xludf.dummyfunction("""COMPUTED_VALUE"""),"alena.yankovskaya.1@gmail.com")</f>
        <v>alena.yankovskaya.1@gmail.com</v>
      </c>
      <c r="J10" s="0" t="str">
        <f aca="false">IFERROR(__xludf.dummyfunction("""COMPUTED_VALUE"""),"Теория игр")</f>
        <v>Теория игр</v>
      </c>
      <c r="K10" s="0" t="str">
        <f aca="false">IFERROR(__xludf.dummyfunction("""COMPUTED_VALUE"""),"Биология")</f>
        <v>Биология</v>
      </c>
      <c r="L10" s="0" t="str">
        <f aca="false">IFERROR(__xludf.dummyfunction("""COMPUTED_VALUE"""),"Нет")</f>
        <v>Нет</v>
      </c>
      <c r="M10" s="0" t="str">
        <f aca="false">IFERROR(__xludf.dummyfunction("""COMPUTED_VALUE"""),"будет")</f>
        <v>будет</v>
      </c>
    </row>
    <row r="11" customFormat="false" ht="15.75" hidden="false" customHeight="false" outlineLevel="0" collapsed="false">
      <c r="A11" s="21" t="n">
        <f aca="false">IF(NOT(ISBLANK(B10:B11)), ROW()-3,"")</f>
        <v>8</v>
      </c>
      <c r="B11" s="11" t="n">
        <f aca="false">IFERROR(__xludf.dummyfunction("""COMPUTED_VALUE"""),43223.7215397222)</f>
        <v>43223.72154</v>
      </c>
      <c r="C11" s="0" t="str">
        <f aca="false">IFERROR(__xludf.dummyfunction("""COMPUTED_VALUE"""),"Красных")</f>
        <v>Красных</v>
      </c>
      <c r="D11" s="0" t="str">
        <f aca="false">IFERROR(__xludf.dummyfunction("""COMPUTED_VALUE"""),"Вадим")</f>
        <v>Вадим</v>
      </c>
      <c r="E11" s="0" t="n">
        <f aca="false">IFERROR(__xludf.dummyfunction("""COMPUTED_VALUE"""),9)</f>
        <v>9</v>
      </c>
      <c r="F11" s="0" t="n">
        <f aca="false">IFERROR(__xludf.dummyfunction("""COMPUTED_VALUE"""),117)</f>
        <v>117</v>
      </c>
      <c r="H11" s="12" t="str">
        <f aca="false">IFERROR(__xludf.dummyfunction("""COMPUTED_VALUE"""),"vk.com/idvadichka")</f>
        <v>vk.com/idvadichka</v>
      </c>
      <c r="I11" s="0" t="str">
        <f aca="false">IFERROR(__xludf.dummyfunction("""COMPUTED_VALUE"""),"vadikras@list.ru")</f>
        <v>vadikras@list.ru</v>
      </c>
      <c r="J11" s="0" t="str">
        <f aca="false">IFERROR(__xludf.dummyfunction("""COMPUTED_VALUE"""),"Меня не будет в эту половину")</f>
        <v>Меня не будет в эту половину</v>
      </c>
      <c r="K11" s="0" t="str">
        <f aca="false">IFERROR(__xludf.dummyfunction("""COMPUTED_VALUE"""),"Биология")</f>
        <v>Биология</v>
      </c>
      <c r="L11" s="0" t="str">
        <f aca="false">IFERROR(__xludf.dummyfunction("""COMPUTED_VALUE"""),"Да")</f>
        <v>Да</v>
      </c>
      <c r="M11" s="0" t="str">
        <f aca="false">IFERROR(__xludf.dummyfunction("""COMPUTED_VALUE"""),"будет")</f>
        <v>будет</v>
      </c>
    </row>
    <row r="12" customFormat="false" ht="15.75" hidden="false" customHeight="false" outlineLevel="0" collapsed="false">
      <c r="A12" s="21" t="n">
        <f aca="false">IF(NOT(ISBLANK(B11:B12)), ROW()-3,"")</f>
        <v>9</v>
      </c>
      <c r="B12" s="11" t="n">
        <f aca="false">IFERROR(__xludf.dummyfunction("""COMPUTED_VALUE"""),43227.8281731019)</f>
        <v>43227.82817</v>
      </c>
      <c r="C12" s="0" t="str">
        <f aca="false">IFERROR(__xludf.dummyfunction("""COMPUTED_VALUE"""),"Ляшев")</f>
        <v>Ляшев</v>
      </c>
      <c r="D12" s="0" t="str">
        <f aca="false">IFERROR(__xludf.dummyfunction("""COMPUTED_VALUE"""),"Артём ")</f>
        <v>Артём</v>
      </c>
      <c r="E12" s="0" t="n">
        <f aca="false">IFERROR(__xludf.dummyfunction("""COMPUTED_VALUE"""),9)</f>
        <v>9</v>
      </c>
      <c r="F12" s="0" t="n">
        <f aca="false">IFERROR(__xludf.dummyfunction("""COMPUTED_VALUE"""),117)</f>
        <v>117</v>
      </c>
      <c r="G12" s="0" t="str">
        <f aca="false">IFERROR(__xludf.dummyfunction("""COMPUTED_VALUE"""),"Я бы хотел принять участие во втором курсе по биологии. ")</f>
        <v>Я бы хотел принять участие во втором курсе по биологии.</v>
      </c>
      <c r="H12" s="12" t="str">
        <f aca="false">IFERROR(__xludf.dummyfunction("""COMPUTED_VALUE"""),"vk.com/id85584620")</f>
        <v>vk.com/id85584620</v>
      </c>
      <c r="I12" s="0" t="str">
        <f aca="false">IFERROR(__xludf.dummyfunction("""COMPUTED_VALUE"""),"artem.ru.art@mail.ru")</f>
        <v>artem.ru.art@mail.ru</v>
      </c>
      <c r="J12" s="0" t="str">
        <f aca="false">IFERROR(__xludf.dummyfunction("""COMPUTED_VALUE"""),"Меня не будет в эту половину")</f>
        <v>Меня не будет в эту половину</v>
      </c>
      <c r="K12" s="0" t="str">
        <f aca="false">IFERROR(__xludf.dummyfunction("""COMPUTED_VALUE"""),"Биология")</f>
        <v>Биология</v>
      </c>
      <c r="L12" s="0" t="str">
        <f aca="false">IFERROR(__xludf.dummyfunction("""COMPUTED_VALUE"""),"Нет")</f>
        <v>Нет</v>
      </c>
      <c r="M12" s="0" t="str">
        <f aca="false">IFERROR(__xludf.dummyfunction("""COMPUTED_VALUE"""),"будет")</f>
        <v>будет</v>
      </c>
    </row>
    <row r="13" customFormat="false" ht="15.75" hidden="false" customHeight="false" outlineLevel="0" collapsed="false">
      <c r="A13" s="21" t="str">
        <f aca="false">IF(NOT(ISBLANK(B12:B13)), ROW()-3,"")</f>
        <v/>
      </c>
      <c r="C13" s="0" t="str">
        <f aca="false">IFERROR(__xludf.dummyfunction("""COMPUTED_VALUE"""),"Таушкина")</f>
        <v>Таушкина</v>
      </c>
      <c r="D13" s="0" t="str">
        <f aca="false">IFERROR(__xludf.dummyfunction("""COMPUTED_VALUE"""),"Люба")</f>
        <v>Люба</v>
      </c>
      <c r="E13" s="0" t="n">
        <f aca="false">IFERROR(__xludf.dummyfunction("""COMPUTED_VALUE"""),10)</f>
        <v>10</v>
      </c>
      <c r="F13" s="0" t="n">
        <f aca="false">IFERROR(__xludf.dummyfunction("""COMPUTED_VALUE"""),117)</f>
        <v>117</v>
      </c>
      <c r="H13" s="12" t="str">
        <f aca="false">IFERROR(__xludf.dummyfunction("""COMPUTED_VALUE"""),"https://vk.com/mylucky_strike")</f>
        <v>https://vk.com/mylucky_strike</v>
      </c>
      <c r="J13" s="0" t="str">
        <f aca="false">IFERROR(__xludf.dummyfunction("""COMPUTED_VALUE"""),"Социология")</f>
        <v>Социология</v>
      </c>
      <c r="K13" s="0" t="str">
        <f aca="false">IFERROR(__xludf.dummyfunction("""COMPUTED_VALUE"""),"Биология")</f>
        <v>Биология</v>
      </c>
      <c r="L13" s="0" t="str">
        <f aca="false">IFERROR(__xludf.dummyfunction("""COMPUTED_VALUE"""),"Нет")</f>
        <v>Нет</v>
      </c>
      <c r="M13" s="0" t="str">
        <f aca="false">IFERROR(__xludf.dummyfunction("""COMPUTED_VALUE"""),"будет")</f>
        <v>будет</v>
      </c>
    </row>
    <row r="14" customFormat="false" ht="15.75" hidden="false" customHeight="false" outlineLevel="0" collapsed="false">
      <c r="A14" s="21" t="str">
        <f aca="false">IF(NOT(ISBLANK(B13:B14)), ROW()-3,"")</f>
        <v/>
      </c>
    </row>
    <row r="15" customFormat="false" ht="15.75" hidden="false" customHeight="false" outlineLevel="0" collapsed="false">
      <c r="A15" s="21" t="str">
        <f aca="false">IF(NOT(ISBLANK(B14:B15)), ROW()-3,"")</f>
        <v/>
      </c>
    </row>
    <row r="16" customFormat="false" ht="15.75" hidden="false" customHeight="false" outlineLevel="0" collapsed="false">
      <c r="A16" s="21" t="str">
        <f aca="false">IF(NOT(ISBLANK(B15:B16)), ROW()-3,"")</f>
        <v/>
      </c>
    </row>
    <row r="17" customFormat="false" ht="15.75" hidden="false" customHeight="false" outlineLevel="0" collapsed="false">
      <c r="A17" s="21" t="str">
        <f aca="false">IF(NOT(ISBLANK(B16:B17)), ROW()-3,"")</f>
        <v/>
      </c>
    </row>
    <row r="18" customFormat="false" ht="15.75" hidden="false" customHeight="false" outlineLevel="0" collapsed="false">
      <c r="A18" s="21" t="str">
        <f aca="false">IF(NOT(ISBLANK(B17:B18)), ROW()-3,"")</f>
        <v/>
      </c>
    </row>
    <row r="19" customFormat="false" ht="15.75" hidden="false" customHeight="false" outlineLevel="0" collapsed="false">
      <c r="A19" s="21" t="str">
        <f aca="false">IF(NOT(ISBLANK(B18:B19)), ROW()-3,"")</f>
        <v/>
      </c>
    </row>
    <row r="20" customFormat="false" ht="15.75" hidden="false" customHeight="false" outlineLevel="0" collapsed="false">
      <c r="A20" s="21" t="str">
        <f aca="false">IF(NOT(ISBLANK(B19:B20)), ROW()-3,"")</f>
        <v/>
      </c>
    </row>
    <row r="21" customFormat="false" ht="15.75" hidden="false" customHeight="false" outlineLevel="0" collapsed="false">
      <c r="A21" s="21" t="str">
        <f aca="false">IF(NOT(ISBLANK(B20:B21)), ROW()-3,"")</f>
        <v/>
      </c>
    </row>
    <row r="22" customFormat="false" ht="15.75" hidden="false" customHeight="false" outlineLevel="0" collapsed="false">
      <c r="A22" s="21" t="str">
        <f aca="false">IF(NOT(ISBLANK(B21:B22)), ROW()-3,"")</f>
        <v/>
      </c>
    </row>
    <row r="23" customFormat="false" ht="15.75" hidden="false" customHeight="false" outlineLevel="0" collapsed="false">
      <c r="A23" s="21" t="str">
        <f aca="false">IF(NOT(ISBLANK(B22:B23)), ROW()-3,"")</f>
        <v/>
      </c>
    </row>
    <row r="24" customFormat="false" ht="15.75" hidden="false" customHeight="false" outlineLevel="0" collapsed="false">
      <c r="A24" s="21" t="str">
        <f aca="false">IF(NOT(ISBLANK(B23:B24)), ROW()-3,"")</f>
        <v/>
      </c>
    </row>
    <row r="25" customFormat="false" ht="15.75" hidden="false" customHeight="false" outlineLevel="0" collapsed="false">
      <c r="A25" s="21" t="str">
        <f aca="false">IF(NOT(ISBLANK(B24:B25)), ROW()-3,"")</f>
        <v/>
      </c>
    </row>
    <row r="26" customFormat="false" ht="15.75" hidden="false" customHeight="false" outlineLevel="0" collapsed="false">
      <c r="A26" s="21" t="str">
        <f aca="false">IF(NOT(ISBLANK(B25:B26)), ROW()-3,"")</f>
        <v/>
      </c>
    </row>
    <row r="27" customFormat="false" ht="15.75" hidden="false" customHeight="false" outlineLevel="0" collapsed="false">
      <c r="A27" s="21" t="str">
        <f aca="false">IF(NOT(ISBLANK(B26:B27)), ROW()-3,"")</f>
        <v/>
      </c>
    </row>
    <row r="28" customFormat="false" ht="15.75" hidden="false" customHeight="false" outlineLevel="0" collapsed="false">
      <c r="A28" s="21" t="str">
        <f aca="false">IF(NOT(ISBLANK(B27:B28)), ROW()-3,"")</f>
        <v/>
      </c>
    </row>
    <row r="29" customFormat="false" ht="15.75" hidden="false" customHeight="false" outlineLevel="0" collapsed="false">
      <c r="A29" s="21" t="str">
        <f aca="false">IF(NOT(ISBLANK(B28:B29)), ROW()-3,"")</f>
        <v/>
      </c>
    </row>
    <row r="30" customFormat="false" ht="15.75" hidden="false" customHeight="false" outlineLevel="0" collapsed="false">
      <c r="A30" s="21" t="str">
        <f aca="false">IF(NOT(ISBLANK(B29:B30)), ROW()-3,"")</f>
        <v/>
      </c>
    </row>
    <row r="31" customFormat="false" ht="15.75" hidden="false" customHeight="false" outlineLevel="0" collapsed="false">
      <c r="A31" s="21" t="str">
        <f aca="false">IF(NOT(ISBLANK(B30:B31)), ROW()-3,"")</f>
        <v/>
      </c>
    </row>
    <row r="32" customFormat="false" ht="15.75" hidden="false" customHeight="false" outlineLevel="0" collapsed="false">
      <c r="A32" s="21" t="str">
        <f aca="false">IF(NOT(ISBLANK(B31:B32)), ROW()-3,"")</f>
        <v/>
      </c>
    </row>
    <row r="33" customFormat="false" ht="15.75" hidden="false" customHeight="false" outlineLevel="0" collapsed="false">
      <c r="A33" s="21" t="str">
        <f aca="false">IF(NOT(ISBLANK(B32:B33)), ROW()-3,"")</f>
        <v/>
      </c>
    </row>
    <row r="34" customFormat="false" ht="15.75" hidden="false" customHeight="false" outlineLevel="0" collapsed="false">
      <c r="A34" s="21" t="str">
        <f aca="false">IF(NOT(ISBLANK(B33:B34)), ROW()-3,"")</f>
        <v/>
      </c>
    </row>
    <row r="35" customFormat="false" ht="15.75" hidden="false" customHeight="false" outlineLevel="0" collapsed="false">
      <c r="A35" s="21" t="str">
        <f aca="false">IF(NOT(ISBLANK(B34:B35)), ROW()-3,"")</f>
        <v/>
      </c>
    </row>
    <row r="36" customFormat="false" ht="15.75" hidden="false" customHeight="false" outlineLevel="0" collapsed="false">
      <c r="A36" s="21" t="str">
        <f aca="false">IF(NOT(ISBLANK(B35:B36)), ROW()-3,"")</f>
        <v/>
      </c>
    </row>
    <row r="37" customFormat="false" ht="15.75" hidden="false" customHeight="false" outlineLevel="0" collapsed="false">
      <c r="A37" s="21" t="str">
        <f aca="false">IF(NOT(ISBLANK(B36:B37)), ROW()-3,"")</f>
        <v/>
      </c>
    </row>
    <row r="38" customFormat="false" ht="15.75" hidden="false" customHeight="false" outlineLevel="0" collapsed="false">
      <c r="A38" s="21" t="str">
        <f aca="false">IF(NOT(ISBLANK(B37:B38)), ROW()-3,"")</f>
        <v/>
      </c>
    </row>
    <row r="39" customFormat="false" ht="15.75" hidden="false" customHeight="false" outlineLevel="0" collapsed="false">
      <c r="A39" s="21" t="str">
        <f aca="false">IF(NOT(ISBLANK(B38:B39)), ROW()-3,"")</f>
        <v/>
      </c>
    </row>
    <row r="40" customFormat="false" ht="15.75" hidden="false" customHeight="false" outlineLevel="0" collapsed="false">
      <c r="A40" s="21" t="str">
        <f aca="false">IF(NOT(ISBLANK(B39:B40)), ROW()-3,"")</f>
        <v/>
      </c>
    </row>
    <row r="41" customFormat="false" ht="15.75" hidden="false" customHeight="false" outlineLevel="0" collapsed="false">
      <c r="A41" s="21" t="str">
        <f aca="false">IF(NOT(ISBLANK(B40:B41)), ROW()-3,"")</f>
        <v/>
      </c>
    </row>
    <row r="42" customFormat="false" ht="15.75" hidden="false" customHeight="false" outlineLevel="0" collapsed="false">
      <c r="A42" s="21" t="str">
        <f aca="false">IF(NOT(ISBLANK(B41:B42)), ROW()-3,"")</f>
        <v/>
      </c>
    </row>
    <row r="43" customFormat="false" ht="15.75" hidden="false" customHeight="false" outlineLevel="0" collapsed="false">
      <c r="A43" s="21" t="str">
        <f aca="false">IF(NOT(ISBLANK(B42:B43)), ROW()-3,"")</f>
        <v/>
      </c>
    </row>
  </sheetData>
  <mergeCells count="1">
    <mergeCell ref="A2:C2"/>
  </mergeCells>
  <dataValidations count="1">
    <dataValidation allowBlank="true" errorStyle="stop" operator="between" showDropDown="false" showErrorMessage="true" showInputMessage="false" sqref="A2" type="list">
      <formula1>Статистика!$A$15:$A$26</formula1>
      <formula2>0</formula2>
    </dataValidation>
  </dataValidations>
  <hyperlinks>
    <hyperlink ref="H4" r:id="rId1" display="http://vk.com/agarbus2003"/>
    <hyperlink ref="H9" r:id="rId2" display="http://vk.com/sshishova2000"/>
    <hyperlink ref="H10" r:id="rId3" display="http://vk.com/17aaaaaaaaaaaaaaaaaaaaaaaaaaaaa"/>
    <hyperlink ref="H11" r:id="rId4" display="http://vk.com/idvadichka"/>
    <hyperlink ref="H12" r:id="rId5" display="http://vk.com/id85584620"/>
    <hyperlink ref="H13" r:id="rId6" display="https://vk.com/mylucky_strik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0" t="s">
        <v>678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679</v>
      </c>
      <c r="H1" s="0" t="s">
        <v>7</v>
      </c>
      <c r="I1" s="0" t="s">
        <v>8</v>
      </c>
      <c r="J1" s="0" t="s">
        <v>9</v>
      </c>
      <c r="K1" s="1" t="s">
        <v>680</v>
      </c>
      <c r="L1" s="1" t="s">
        <v>682</v>
      </c>
      <c r="M1" s="1" t="s">
        <v>775</v>
      </c>
    </row>
    <row r="2" customFormat="false" ht="15.75" hidden="false" customHeight="false" outlineLevel="0" collapsed="false">
      <c r="A2" s="11" t="n">
        <f aca="false">IFERROR(__xludf.dummyfunction("FILTER('Переформатированный ответ'!$A$2:$K$179,'Переформатированный ответ'!$M$2:$M$179 &gt;0)"),43219.7789290972)</f>
        <v>43219.77893</v>
      </c>
      <c r="B2" s="0" t="str">
        <f aca="false">IFERROR(__xludf.dummyfunction("""COMPUTED_VALUE"""),"Гарбуз ")</f>
        <v>Гарбуз</v>
      </c>
      <c r="C2" s="0" t="str">
        <f aca="false">IFERROR(__xludf.dummyfunction("""COMPUTED_VALUE"""),"Арина ")</f>
        <v>Арина</v>
      </c>
      <c r="D2" s="0" t="n">
        <f aca="false">IFERROR(__xludf.dummyfunction("""COMPUTED_VALUE"""),8)</f>
        <v>8</v>
      </c>
      <c r="E2" s="0" t="n">
        <f aca="false">IFERROR(__xludf.dummyfunction("""COMPUTED_VALUE"""),98)</f>
        <v>98</v>
      </c>
      <c r="G2" s="12" t="str">
        <f aca="false">IFERROR(__xludf.dummyfunction("""COMPUTED_VALUE"""),"vk.com/agarbus2003")</f>
        <v>vk.com/agarbus2003</v>
      </c>
      <c r="H2" s="0" t="str">
        <f aca="false">IFERROR(__xludf.dummyfunction("""COMPUTED_VALUE"""),"gaa7086@gmail.com")</f>
        <v>gaa7086@gmail.com</v>
      </c>
      <c r="I2" s="0" t="str">
        <f aca="false">IFERROR(__xludf.dummyfunction("""COMPUTED_VALUE"""),"Социология")</f>
        <v>Социология</v>
      </c>
      <c r="J2" s="0" t="str">
        <f aca="false">IFERROR(__xludf.dummyfunction("""COMPUTED_VALUE"""),"Биология")</f>
        <v>Биология</v>
      </c>
      <c r="K2" s="0" t="str">
        <f aca="false">IFERROR(__xludf.dummyfunction("""COMPUTED_VALUE"""),"Да")</f>
        <v>Да</v>
      </c>
      <c r="L2" s="21" t="str">
        <f aca="false">IFERROR(__xludf.dummyfunction("ARRAYFORMULA(IF(FILTER('Переформатированный ответ'!$M$2:$M$179,'Переформатированный ответ'!$M$2:$M$179 &gt;0) = 2,""будет"",""неизвестно""))"),"будет")</f>
        <v>будет</v>
      </c>
      <c r="M2" s="1" t="n">
        <v>1</v>
      </c>
      <c r="N2" s="1" t="n">
        <v>1</v>
      </c>
    </row>
    <row r="3" customFormat="false" ht="15.75" hidden="false" customHeight="false" outlineLevel="0" collapsed="false">
      <c r="A3" s="11" t="n">
        <f aca="false">IFERROR(__xludf.dummyfunction("""COMPUTED_VALUE"""),43219.7819177083)</f>
        <v>43219.78192</v>
      </c>
      <c r="B3" s="0" t="str">
        <f aca="false">IFERROR(__xludf.dummyfunction("""COMPUTED_VALUE"""),"Терещенко ")</f>
        <v>Терещенко</v>
      </c>
      <c r="C3" s="0" t="str">
        <f aca="false">IFERROR(__xludf.dummyfunction("""COMPUTED_VALUE"""),"Алексей ")</f>
        <v>Алексей</v>
      </c>
      <c r="D3" s="0" t="n">
        <f aca="false">IFERROR(__xludf.dummyfunction("""COMPUTED_VALUE"""),10)</f>
        <v>10</v>
      </c>
      <c r="E3" s="0" t="n">
        <f aca="false">IFERROR(__xludf.dummyfunction("""COMPUTED_VALUE"""),117)</f>
        <v>117</v>
      </c>
      <c r="F3" s="0" t="str">
        <f aca="false">IFERROR(__xludf.dummyfunction("""COMPUTED_VALUE"""),"Обожаю впс")</f>
        <v>Обожаю впс</v>
      </c>
      <c r="G3" s="12" t="str">
        <f aca="false">IFERROR(__xludf.dummyfunction("""COMPUTED_VALUE"""),"vk.com/id243002488")</f>
        <v>vk.com/id243002488</v>
      </c>
      <c r="H3" s="0" t="str">
        <f aca="false">IFERROR(__xludf.dummyfunction("""COMPUTED_VALUE"""),"leha.tarin@mail.ru")</f>
        <v>leha.tarin@mail.ru</v>
      </c>
      <c r="I3" s="0" t="str">
        <f aca="false">IFERROR(__xludf.dummyfunction("""COMPUTED_VALUE"""),"Олимпиадная химия")</f>
        <v>Олимпиадная химия</v>
      </c>
      <c r="J3" s="0" t="str">
        <f aca="false">IFERROR(__xludf.dummyfunction("""COMPUTED_VALUE"""),"Теория вероятностей")</f>
        <v>Теория вероятностей</v>
      </c>
      <c r="K3" s="0" t="str">
        <f aca="false">IFERROR(__xludf.dummyfunction("""COMPUTED_VALUE"""),"Да")</f>
        <v>Да</v>
      </c>
      <c r="L3" s="0" t="str">
        <f aca="false">IFERROR(__xludf.dummyfunction("""COMPUTED_VALUE"""),"будет")</f>
        <v>будет</v>
      </c>
      <c r="M3" s="1" t="n">
        <v>1</v>
      </c>
      <c r="N3" s="1" t="n">
        <v>1</v>
      </c>
    </row>
    <row r="4" customFormat="false" ht="15.75" hidden="false" customHeight="false" outlineLevel="0" collapsed="false">
      <c r="A4" s="11" t="n">
        <f aca="false">IFERROR(__xludf.dummyfunction("""COMPUTED_VALUE"""),43219.7832667245)</f>
        <v>43219.78327</v>
      </c>
      <c r="B4" s="0" t="str">
        <f aca="false">IFERROR(__xludf.dummyfunction("""COMPUTED_VALUE"""),"Власов")</f>
        <v>Власов</v>
      </c>
      <c r="C4" s="0" t="str">
        <f aca="false">IFERROR(__xludf.dummyfunction("""COMPUTED_VALUE"""),"Роман")</f>
        <v>Роман</v>
      </c>
      <c r="D4" s="0" t="n">
        <f aca="false">IFERROR(__xludf.dummyfunction("""COMPUTED_VALUE"""),9)</f>
        <v>9</v>
      </c>
      <c r="E4" s="0" t="n">
        <f aca="false">IFERROR(__xludf.dummyfunction("""COMPUTED_VALUE"""),117)</f>
        <v>117</v>
      </c>
      <c r="G4" s="12" t="str">
        <f aca="false">IFERROR(__xludf.dummyfunction("""COMPUTED_VALUE"""),"vk.com/kotyangensss")</f>
        <v>vk.com/kotyangensss</v>
      </c>
      <c r="H4" s="0" t="str">
        <f aca="false">IFERROR(__xludf.dummyfunction("""COMPUTED_VALUE"""),"optimys.prajm@mail.ru")</f>
        <v>optimys.prajm@mail.ru</v>
      </c>
      <c r="I4" s="0" t="str">
        <f aca="false">IFERROR(__xludf.dummyfunction("""COMPUTED_VALUE"""),"Введение в анализ данных")</f>
        <v>Введение в анализ данных</v>
      </c>
      <c r="J4" s="0" t="str">
        <f aca="false">IFERROR(__xludf.dummyfunction("""COMPUTED_VALUE"""),"Теория вероятностей")</f>
        <v>Теория вероятностей</v>
      </c>
      <c r="K4" s="0" t="str">
        <f aca="false">IFERROR(__xludf.dummyfunction("""COMPUTED_VALUE"""),"Да")</f>
        <v>Да</v>
      </c>
      <c r="L4" s="0" t="str">
        <f aca="false">IFERROR(__xludf.dummyfunction("""COMPUTED_VALUE"""),"будет")</f>
        <v>будет</v>
      </c>
      <c r="M4" s="1" t="n">
        <v>1</v>
      </c>
      <c r="N4" s="1" t="n">
        <v>1</v>
      </c>
    </row>
    <row r="5" customFormat="false" ht="15.75" hidden="false" customHeight="false" outlineLevel="0" collapsed="false">
      <c r="A5" s="11" t="n">
        <f aca="false">IFERROR(__xludf.dummyfunction("""COMPUTED_VALUE"""),43219.7867265278)</f>
        <v>43219.78673</v>
      </c>
      <c r="B5" s="0" t="str">
        <f aca="false">IFERROR(__xludf.dummyfunction("""COMPUTED_VALUE"""),"Богданова")</f>
        <v>Богданова</v>
      </c>
      <c r="C5" s="0" t="str">
        <f aca="false">IFERROR(__xludf.dummyfunction("""COMPUTED_VALUE"""),"Анастасия")</f>
        <v>Анастасия</v>
      </c>
      <c r="D5" s="0" t="n">
        <f aca="false">IFERROR(__xludf.dummyfunction("""COMPUTED_VALUE"""),10)</f>
        <v>10</v>
      </c>
      <c r="E5" s="0" t="n">
        <f aca="false">IFERROR(__xludf.dummyfunction("""COMPUTED_VALUE"""),117)</f>
        <v>117</v>
      </c>
      <c r="G5" s="12" t="str">
        <f aca="false">IFERROR(__xludf.dummyfunction("""COMPUTED_VALUE"""),"vk.com/id206813526")</f>
        <v>vk.com/id206813526</v>
      </c>
      <c r="H5" s="0" t="str">
        <f aca="false">IFERROR(__xludf.dummyfunction("""COMPUTED_VALUE"""),"bogdanovaasya_2907@mail.ru")</f>
        <v>bogdanovaasya_2907@mail.ru</v>
      </c>
      <c r="I5" s="0" t="str">
        <f aca="false">IFERROR(__xludf.dummyfunction("""COMPUTED_VALUE"""),"Биология")</f>
        <v>Биология</v>
      </c>
      <c r="J5" s="0" t="str">
        <f aca="false">IFERROR(__xludf.dummyfunction("""COMPUTED_VALUE"""),"Олимпиадная химия")</f>
        <v>Олимпиадная химия</v>
      </c>
      <c r="K5" s="0" t="str">
        <f aca="false">IFERROR(__xludf.dummyfunction("""COMPUTED_VALUE"""),"Да")</f>
        <v>Да</v>
      </c>
      <c r="L5" s="0" t="str">
        <f aca="false">IFERROR(__xludf.dummyfunction("""COMPUTED_VALUE"""),"будет")</f>
        <v>будет</v>
      </c>
      <c r="M5" s="1" t="n">
        <v>1</v>
      </c>
      <c r="N5" s="1" t="n">
        <v>1</v>
      </c>
    </row>
    <row r="6" customFormat="false" ht="15.75" hidden="false" customHeight="false" outlineLevel="0" collapsed="false">
      <c r="A6" s="11" t="n">
        <f aca="false">IFERROR(__xludf.dummyfunction("""COMPUTED_VALUE"""),43219.7883524653)</f>
        <v>43219.78835</v>
      </c>
      <c r="B6" s="0" t="str">
        <f aca="false">IFERROR(__xludf.dummyfunction("""COMPUTED_VALUE"""),"Догадин")</f>
        <v>Догадин</v>
      </c>
      <c r="C6" s="0" t="str">
        <f aca="false">IFERROR(__xludf.dummyfunction("""COMPUTED_VALUE"""),"Антон")</f>
        <v>Антон</v>
      </c>
      <c r="D6" s="0" t="n">
        <f aca="false">IFERROR(__xludf.dummyfunction("""COMPUTED_VALUE"""),9)</f>
        <v>9</v>
      </c>
      <c r="E6" s="0" t="n">
        <f aca="false">IFERROR(__xludf.dummyfunction("""COMPUTED_VALUE"""),117)</f>
        <v>117</v>
      </c>
      <c r="G6" s="12" t="str">
        <f aca="false">IFERROR(__xludf.dummyfunction("""COMPUTED_VALUE"""),"vk.com/djabella")</f>
        <v>vk.com/djabella</v>
      </c>
      <c r="H6" s="0" t="str">
        <f aca="false">IFERROR(__xludf.dummyfunction("""COMPUTED_VALUE"""),"dogadina67@mail.ru")</f>
        <v>dogadina67@mail.ru</v>
      </c>
      <c r="I6" s="0" t="str">
        <f aca="false">IFERROR(__xludf.dummyfunction("""COMPUTED_VALUE"""),"Олимпиадная математика")</f>
        <v>Олимпиадная математика</v>
      </c>
      <c r="J6" s="0" t="str">
        <f aca="false">IFERROR(__xludf.dummyfunction("""COMPUTED_VALUE"""),"Теория вероятностей")</f>
        <v>Теория вероятностей</v>
      </c>
      <c r="K6" s="0" t="str">
        <f aca="false">IFERROR(__xludf.dummyfunction("""COMPUTED_VALUE"""),"Нет")</f>
        <v>Нет</v>
      </c>
      <c r="L6" s="0" t="str">
        <f aca="false">IFERROR(__xludf.dummyfunction("""COMPUTED_VALUE"""),"будет")</f>
        <v>будет</v>
      </c>
      <c r="N6" s="1" t="n">
        <v>1</v>
      </c>
    </row>
    <row r="7" customFormat="false" ht="15.75" hidden="false" customHeight="false" outlineLevel="0" collapsed="false">
      <c r="A7" s="11" t="n">
        <f aca="false">IFERROR(__xludf.dummyfunction("""COMPUTED_VALUE"""),43219.7887197569)</f>
        <v>43219.78872</v>
      </c>
      <c r="B7" s="0" t="str">
        <f aca="false">IFERROR(__xludf.dummyfunction("""COMPUTED_VALUE"""),"Калиниченко")</f>
        <v>Калиниченко</v>
      </c>
      <c r="C7" s="0" t="str">
        <f aca="false">IFERROR(__xludf.dummyfunction("""COMPUTED_VALUE"""),"Арсений")</f>
        <v>Арсений</v>
      </c>
      <c r="D7" s="0" t="n">
        <f aca="false">IFERROR(__xludf.dummyfunction("""COMPUTED_VALUE"""),9)</f>
        <v>9</v>
      </c>
      <c r="E7" s="0" t="n">
        <f aca="false">IFERROR(__xludf.dummyfunction("""COMPUTED_VALUE"""),51)</f>
        <v>51</v>
      </c>
      <c r="G7" s="0" t="str">
        <f aca="false">IFERROR(__xludf.dummyfunction("""COMPUTED_VALUE"""),"Нет")</f>
        <v>Нет</v>
      </c>
      <c r="H7" s="0" t="str">
        <f aca="false">IFERROR(__xludf.dummyfunction("""COMPUTED_VALUE"""),"arsenka2034@gmail.com")</f>
        <v>arsenka2034@gmail.com</v>
      </c>
      <c r="I7" s="0" t="str">
        <f aca="false">IFERROR(__xludf.dummyfunction("""COMPUTED_VALUE"""),"Введение в анализ данных")</f>
        <v>Введение в анализ данных</v>
      </c>
      <c r="J7" s="0" t="str">
        <f aca="false">IFERROR(__xludf.dummyfunction("""COMPUTED_VALUE"""),"Границы применимости физических моделей")</f>
        <v>Границы применимости физических моделей</v>
      </c>
      <c r="K7" s="0" t="str">
        <f aca="false">IFERROR(__xludf.dummyfunction("""COMPUTED_VALUE"""),"Нет")</f>
        <v>Нет</v>
      </c>
      <c r="L7" s="0" t="str">
        <f aca="false">IFERROR(__xludf.dummyfunction("""COMPUTED_VALUE"""),"будет")</f>
        <v>будет</v>
      </c>
      <c r="M7" s="1" t="n">
        <v>1</v>
      </c>
      <c r="N7" s="1" t="n">
        <v>1</v>
      </c>
    </row>
    <row r="8" customFormat="false" ht="15.75" hidden="false" customHeight="false" outlineLevel="0" collapsed="false">
      <c r="A8" s="11" t="n">
        <f aca="false">IFERROR(__xludf.dummyfunction("""COMPUTED_VALUE"""),43219.7911865509)</f>
        <v>43219.79119</v>
      </c>
      <c r="B8" s="0" t="str">
        <f aca="false">IFERROR(__xludf.dummyfunction("""COMPUTED_VALUE"""),"Ибатуллина")</f>
        <v>Ибатуллина</v>
      </c>
      <c r="C8" s="0" t="str">
        <f aca="false">IFERROR(__xludf.dummyfunction("""COMPUTED_VALUE"""),"Амалия")</f>
        <v>Амалия</v>
      </c>
      <c r="D8" s="0" t="n">
        <f aca="false">IFERROR(__xludf.dummyfunction("""COMPUTED_VALUE"""),8)</f>
        <v>8</v>
      </c>
      <c r="E8" s="0" t="n">
        <f aca="false">IFERROR(__xludf.dummyfunction("""COMPUTED_VALUE"""),117)</f>
        <v>117</v>
      </c>
      <c r="G8" s="12" t="str">
        <f aca="false">IFERROR(__xludf.dummyfunction("""COMPUTED_VALUE"""),"vk.com/id262530619")</f>
        <v>vk.com/id262530619</v>
      </c>
      <c r="H8" s="0" t="str">
        <f aca="false">IFERROR(__xludf.dummyfunction("""COMPUTED_VALUE"""),"ibatullin77@yandex.ru")</f>
        <v>ibatullin77@yandex.ru</v>
      </c>
      <c r="I8" s="0" t="str">
        <f aca="false">IFERROR(__xludf.dummyfunction("""COMPUTED_VALUE"""),"Биология")</f>
        <v>Биология</v>
      </c>
      <c r="J8" s="0" t="str">
        <f aca="false">IFERROR(__xludf.dummyfunction("""COMPUTED_VALUE"""),"Введение в роль элитных противостояний в истории")</f>
        <v>Введение в роль элитных противостояний в истории</v>
      </c>
      <c r="K8" s="0" t="str">
        <f aca="false">IFERROR(__xludf.dummyfunction("""COMPUTED_VALUE"""),"Да")</f>
        <v>Да</v>
      </c>
      <c r="L8" s="0" t="str">
        <f aca="false">IFERROR(__xludf.dummyfunction("""COMPUTED_VALUE"""),"будет")</f>
        <v>будет</v>
      </c>
      <c r="N8" s="1" t="n">
        <v>1</v>
      </c>
    </row>
    <row r="9" customFormat="false" ht="15.75" hidden="false" customHeight="false" outlineLevel="0" collapsed="false">
      <c r="A9" s="11" t="n">
        <f aca="false">IFERROR(__xludf.dummyfunction("""COMPUTED_VALUE"""),43219.7930036806)</f>
        <v>43219.793</v>
      </c>
      <c r="B9" s="0" t="str">
        <f aca="false">IFERROR(__xludf.dummyfunction("""COMPUTED_VALUE"""),"Лазарев")</f>
        <v>Лазарев</v>
      </c>
      <c r="C9" s="0" t="str">
        <f aca="false">IFERROR(__xludf.dummyfunction("""COMPUTED_VALUE"""),"Анатолий")</f>
        <v>Анатолий</v>
      </c>
      <c r="D9" s="0" t="n">
        <f aca="false">IFERROR(__xludf.dummyfunction("""COMPUTED_VALUE"""),10)</f>
        <v>10</v>
      </c>
      <c r="E9" s="0" t="n">
        <f aca="false">IFERROR(__xludf.dummyfunction("""COMPUTED_VALUE"""),149)</f>
        <v>149</v>
      </c>
      <c r="G9" s="12" t="str">
        <f aca="false">IFERROR(__xludf.dummyfunction("""COMPUTED_VALUE"""),"Vk.com/lazarevtolyan")</f>
        <v>Vk.com/lazarevtolyan</v>
      </c>
      <c r="H9" s="0" t="str">
        <f aca="false">IFERROR(__xludf.dummyfunction("""COMPUTED_VALUE"""),"lazarevl2001@gmail.com")</f>
        <v>lazarevl2001@gmail.com</v>
      </c>
      <c r="I9" s="0" t="str">
        <f aca="false">IFERROR(__xludf.dummyfunction("""COMPUTED_VALUE"""),"Введение в анализ данных")</f>
        <v>Введение в анализ данных</v>
      </c>
      <c r="J9" s="0" t="str">
        <f aca="false">IFERROR(__xludf.dummyfunction("""COMPUTED_VALUE"""),"Теория вероятностей")</f>
        <v>Теория вероятностей</v>
      </c>
      <c r="K9" s="0" t="str">
        <f aca="false">IFERROR(__xludf.dummyfunction("""COMPUTED_VALUE"""),"Да")</f>
        <v>Да</v>
      </c>
      <c r="L9" s="0" t="str">
        <f aca="false">IFERROR(__xludf.dummyfunction("""COMPUTED_VALUE"""),"будет")</f>
        <v>будет</v>
      </c>
      <c r="N9" s="1" t="n">
        <v>1</v>
      </c>
    </row>
    <row r="10" customFormat="false" ht="15.75" hidden="false" customHeight="false" outlineLevel="0" collapsed="false">
      <c r="A10" s="11" t="n">
        <f aca="false">IFERROR(__xludf.dummyfunction("""COMPUTED_VALUE"""),43219.7934564005)</f>
        <v>43219.79346</v>
      </c>
      <c r="B10" s="0" t="str">
        <f aca="false">IFERROR(__xludf.dummyfunction("""COMPUTED_VALUE"""),"Александрова")</f>
        <v>Александрова</v>
      </c>
      <c r="C10" s="0" t="str">
        <f aca="false">IFERROR(__xludf.dummyfunction("""COMPUTED_VALUE"""),"Валерия")</f>
        <v>Валерия</v>
      </c>
      <c r="D10" s="0" t="n">
        <f aca="false">IFERROR(__xludf.dummyfunction("""COMPUTED_VALUE"""),11)</f>
        <v>11</v>
      </c>
      <c r="E10" s="0" t="n">
        <f aca="false">IFERROR(__xludf.dummyfunction("""COMPUTED_VALUE"""),117)</f>
        <v>117</v>
      </c>
      <c r="G10" s="12" t="str">
        <f aca="false">IFERROR(__xludf.dummyfunction("""COMPUTED_VALUE"""),"vk.com/licharovski ")</f>
        <v>vk.com/licharovski</v>
      </c>
      <c r="H10" s="0" t="str">
        <f aca="false">IFERROR(__xludf.dummyfunction("""COMPUTED_VALUE"""),"licharovski@mail.ru")</f>
        <v>licharovski@mail.ru</v>
      </c>
      <c r="I10" s="0" t="str">
        <f aca="false">IFERROR(__xludf.dummyfunction("""COMPUTED_VALUE"""),"Международное право")</f>
        <v>Международное право</v>
      </c>
      <c r="J10" s="0" t="str">
        <f aca="false">IFERROR(__xludf.dummyfunction("""COMPUTED_VALUE"""),"Введение в роль элитных противостояний в истории")</f>
        <v>Введение в роль элитных противостояний в истории</v>
      </c>
      <c r="K10" s="0" t="str">
        <f aca="false">IFERROR(__xludf.dummyfunction("""COMPUTED_VALUE"""),"Да")</f>
        <v>Да</v>
      </c>
      <c r="L10" s="0" t="str">
        <f aca="false">IFERROR(__xludf.dummyfunction("""COMPUTED_VALUE"""),"неизвестно")</f>
        <v>неизвестно</v>
      </c>
      <c r="M10" s="1" t="n">
        <v>1</v>
      </c>
      <c r="N10" s="1" t="n">
        <v>1</v>
      </c>
    </row>
    <row r="11" customFormat="false" ht="15.75" hidden="false" customHeight="false" outlineLevel="0" collapsed="false">
      <c r="A11" s="11" t="n">
        <f aca="false">IFERROR(__xludf.dummyfunction("""COMPUTED_VALUE"""),43219.7944161574)</f>
        <v>43219.79442</v>
      </c>
      <c r="B11" s="0" t="str">
        <f aca="false">IFERROR(__xludf.dummyfunction("""COMPUTED_VALUE"""),"Муравьева")</f>
        <v>Муравьева</v>
      </c>
      <c r="C11" s="0" t="str">
        <f aca="false">IFERROR(__xludf.dummyfunction("""COMPUTED_VALUE"""),"Мария")</f>
        <v>Мария</v>
      </c>
      <c r="D11" s="0" t="n">
        <f aca="false">IFERROR(__xludf.dummyfunction("""COMPUTED_VALUE"""),9)</f>
        <v>9</v>
      </c>
      <c r="E11" s="0" t="n">
        <f aca="false">IFERROR(__xludf.dummyfunction("""COMPUTED_VALUE"""),117)</f>
        <v>117</v>
      </c>
      <c r="F11" s="0" t="str">
        <f aca="false">IFERROR(__xludf.dummyfunction("""COMPUTED_VALUE"""),"не могу присутствовать 16,17 и 18 июля")</f>
        <v>не могу присутствовать 16,17 и 18 июля</v>
      </c>
      <c r="G11" s="12" t="str">
        <f aca="false">IFERROR(__xludf.dummyfunction("""COMPUTED_VALUE"""),"vk.com/muravyeva2012")</f>
        <v>vk.com/muravyeva2012</v>
      </c>
      <c r="I11" s="0" t="str">
        <f aca="false">IFERROR(__xludf.dummyfunction("""COMPUTED_VALUE"""),"Социология")</f>
        <v>Социология</v>
      </c>
      <c r="J11" s="0" t="str">
        <f aca="false">IFERROR(__xludf.dummyfunction("""COMPUTED_VALUE"""),"Введение в российское право")</f>
        <v>Введение в российское право</v>
      </c>
      <c r="K11" s="0" t="str">
        <f aca="false">IFERROR(__xludf.dummyfunction("""COMPUTED_VALUE"""),"Нет")</f>
        <v>Нет</v>
      </c>
      <c r="L11" s="0" t="str">
        <f aca="false">IFERROR(__xludf.dummyfunction("""COMPUTED_VALUE"""),"будет")</f>
        <v>будет</v>
      </c>
    </row>
    <row r="12" customFormat="false" ht="15.75" hidden="false" customHeight="false" outlineLevel="0" collapsed="false">
      <c r="A12" s="11" t="n">
        <f aca="false">IFERROR(__xludf.dummyfunction("""COMPUTED_VALUE"""),43219.7961436458)</f>
        <v>43219.79614</v>
      </c>
      <c r="B12" s="0" t="str">
        <f aca="false">IFERROR(__xludf.dummyfunction("""COMPUTED_VALUE"""),"Черкасов")</f>
        <v>Черкасов</v>
      </c>
      <c r="C12" s="0" t="str">
        <f aca="false">IFERROR(__xludf.dummyfunction("""COMPUTED_VALUE"""),"Глеб")</f>
        <v>Глеб</v>
      </c>
      <c r="D12" s="0" t="n">
        <f aca="false">IFERROR(__xludf.dummyfunction("""COMPUTED_VALUE"""),9)</f>
        <v>9</v>
      </c>
      <c r="E12" s="0" t="n">
        <f aca="false">IFERROR(__xludf.dummyfunction("""COMPUTED_VALUE"""),117)</f>
        <v>117</v>
      </c>
      <c r="G12" s="12" t="str">
        <f aca="false">IFERROR(__xludf.dummyfunction("""COMPUTED_VALUE"""),"vk.com/maninthebluebox")</f>
        <v>vk.com/maninthebluebox</v>
      </c>
      <c r="H12" s="0" t="str">
        <f aca="false">IFERROR(__xludf.dummyfunction("""COMPUTED_VALUE"""),"glebotron@gmail.com")</f>
        <v>glebotron@gmail.com</v>
      </c>
      <c r="I12" s="0" t="str">
        <f aca="false">IFERROR(__xludf.dummyfunction("""COMPUTED_VALUE"""),"Матричная оптика")</f>
        <v>Матричная оптика</v>
      </c>
      <c r="J12" s="0" t="str">
        <f aca="false">IFERROR(__xludf.dummyfunction("""COMPUTED_VALUE"""),"Границы применимости физических моделей")</f>
        <v>Границы применимости физических моделей</v>
      </c>
      <c r="K12" s="0" t="str">
        <f aca="false">IFERROR(__xludf.dummyfunction("""COMPUTED_VALUE"""),"Нет")</f>
        <v>Нет</v>
      </c>
      <c r="L12" s="0" t="str">
        <f aca="false">IFERROR(__xludf.dummyfunction("""COMPUTED_VALUE"""),"будет")</f>
        <v>будет</v>
      </c>
      <c r="N12" s="1" t="n">
        <v>1</v>
      </c>
    </row>
    <row r="13" customFormat="false" ht="15.75" hidden="false" customHeight="false" outlineLevel="0" collapsed="false">
      <c r="A13" s="11" t="n">
        <f aca="false">IFERROR(__xludf.dummyfunction("""COMPUTED_VALUE"""),43219.7964826852)</f>
        <v>43219.79648</v>
      </c>
      <c r="B13" s="0" t="str">
        <f aca="false">IFERROR(__xludf.dummyfunction("""COMPUTED_VALUE"""),"Гнедина")</f>
        <v>Гнедина</v>
      </c>
      <c r="C13" s="0" t="str">
        <f aca="false">IFERROR(__xludf.dummyfunction("""COMPUTED_VALUE"""),"Ксения")</f>
        <v>Ксения</v>
      </c>
      <c r="D13" s="0" t="n">
        <f aca="false">IFERROR(__xludf.dummyfunction("""COMPUTED_VALUE"""),8)</f>
        <v>8</v>
      </c>
      <c r="E13" s="0" t="n">
        <f aca="false">IFERROR(__xludf.dummyfunction("""COMPUTED_VALUE"""),117)</f>
        <v>117</v>
      </c>
      <c r="F13" s="0" t="str">
        <f aca="false">IFERROR(__xludf.dummyfunction("""COMPUTED_VALUE"""),"Я смогу ходить в Сигму только до 15 июля. Дальше я уезжаб")</f>
        <v>Я смогу ходить в Сигму только до 15 июля. Дальше я уезжаб</v>
      </c>
      <c r="G13" s="0" t="str">
        <f aca="false">IFERROR(__xludf.dummyfunction("""COMPUTED_VALUE"""),"Нет")</f>
        <v>Нет</v>
      </c>
      <c r="H13" s="0" t="str">
        <f aca="false">IFERROR(__xludf.dummyfunction("""COMPUTED_VALUE"""),"gnedina_03@mail.ru")</f>
        <v>gnedina_03@mail.ru</v>
      </c>
      <c r="I13" s="0" t="str">
        <f aca="false">IFERROR(__xludf.dummyfunction("""COMPUTED_VALUE"""),"Социология")</f>
        <v>Социология</v>
      </c>
      <c r="J13" s="0" t="str">
        <f aca="false">IFERROR(__xludf.dummyfunction("""COMPUTED_VALUE"""),"Биология")</f>
        <v>Биология</v>
      </c>
      <c r="K13" s="0" t="str">
        <f aca="false">IFERROR(__xludf.dummyfunction("""COMPUTED_VALUE"""),"Да")</f>
        <v>Да</v>
      </c>
      <c r="L13" s="0" t="str">
        <f aca="false">IFERROR(__xludf.dummyfunction("""COMPUTED_VALUE"""),"будет")</f>
        <v>будет</v>
      </c>
    </row>
    <row r="14" customFormat="false" ht="15.75" hidden="false" customHeight="false" outlineLevel="0" collapsed="false">
      <c r="A14" s="11" t="n">
        <f aca="false">IFERROR(__xludf.dummyfunction("""COMPUTED_VALUE"""),43219.7965105671)</f>
        <v>43219.79651</v>
      </c>
      <c r="B14" s="0" t="str">
        <f aca="false">IFERROR(__xludf.dummyfunction("""COMPUTED_VALUE"""),"Васильева")</f>
        <v>Васильева</v>
      </c>
      <c r="C14" s="0" t="str">
        <f aca="false">IFERROR(__xludf.dummyfunction("""COMPUTED_VALUE"""),"Мария")</f>
        <v>Мария</v>
      </c>
      <c r="D14" s="0" t="n">
        <f aca="false">IFERROR(__xludf.dummyfunction("""COMPUTED_VALUE"""),9)</f>
        <v>9</v>
      </c>
      <c r="E14" s="0" t="n">
        <f aca="false">IFERROR(__xludf.dummyfunction("""COMPUTED_VALUE"""),117)</f>
        <v>117</v>
      </c>
      <c r="G14" s="12" t="str">
        <f aca="false">IFERROR(__xludf.dummyfunction("""COMPUTED_VALUE"""),"vk.com/sadmaris")</f>
        <v>vk.com/sadmaris</v>
      </c>
      <c r="H14" s="0" t="str">
        <f aca="false">IFERROR(__xludf.dummyfunction("""COMPUTED_VALUE"""),"vas-77077@mail.ru")</f>
        <v>vas-77077@mail.ru</v>
      </c>
      <c r="I14" s="0" t="str">
        <f aca="false">IFERROR(__xludf.dummyfunction("""COMPUTED_VALUE"""),"Теория игр")</f>
        <v>Теория игр</v>
      </c>
      <c r="J14" s="0" t="str">
        <f aca="false">IFERROR(__xludf.dummyfunction("""COMPUTED_VALUE"""),"Экономическое мышление и никакой математики!")</f>
        <v>Экономическое мышление и никакой математики!</v>
      </c>
      <c r="K14" s="0" t="str">
        <f aca="false">IFERROR(__xludf.dummyfunction("""COMPUTED_VALUE"""),"Да")</f>
        <v>Да</v>
      </c>
      <c r="L14" s="0" t="str">
        <f aca="false">IFERROR(__xludf.dummyfunction("""COMPUTED_VALUE"""),"будет")</f>
        <v>будет</v>
      </c>
      <c r="M14" s="1" t="n">
        <v>1</v>
      </c>
      <c r="N14" s="1" t="n">
        <v>1</v>
      </c>
    </row>
    <row r="15" customFormat="false" ht="15.75" hidden="false" customHeight="false" outlineLevel="0" collapsed="false">
      <c r="A15" s="11" t="n">
        <f aca="false">IFERROR(__xludf.dummyfunction("""COMPUTED_VALUE"""),43219.803508287)</f>
        <v>43219.80351</v>
      </c>
      <c r="B15" s="0" t="str">
        <f aca="false">IFERROR(__xludf.dummyfunction("""COMPUTED_VALUE"""),"Капллани")</f>
        <v>Капллани</v>
      </c>
      <c r="C15" s="0" t="str">
        <f aca="false">IFERROR(__xludf.dummyfunction("""COMPUTED_VALUE"""),"Марина")</f>
        <v>Марина</v>
      </c>
      <c r="D15" s="0" t="n">
        <f aca="false">IFERROR(__xludf.dummyfunction("""COMPUTED_VALUE"""),8)</f>
        <v>8</v>
      </c>
      <c r="E15" s="0" t="n">
        <f aca="false">IFERROR(__xludf.dummyfunction("""COMPUTED_VALUE"""),117)</f>
        <v>117</v>
      </c>
      <c r="F15" s="0" t="str">
        <f aca="false">IFERROR(__xludf.dummyfunction("""COMPUTED_VALUE"""),"Смогу посещать с 6 июля")</f>
        <v>Смогу посещать с 6 июля</v>
      </c>
      <c r="G15" s="12" t="str">
        <f aca="false">IFERROR(__xludf.dummyfunction("""COMPUTED_VALUE"""),"vk.com/mara.rina")</f>
        <v>vk.com/mara.rina</v>
      </c>
      <c r="H15" s="0" t="str">
        <f aca="false">IFERROR(__xludf.dummyfunction("""COMPUTED_VALUE"""),"mkapllani3002@gmail.com")</f>
        <v>mkapllani3002@gmail.com</v>
      </c>
      <c r="I15" s="0" t="str">
        <f aca="false">IFERROR(__xludf.dummyfunction("""COMPUTED_VALUE"""),"Социология")</f>
        <v>Социология</v>
      </c>
      <c r="J15" s="0" t="str">
        <f aca="false">IFERROR(__xludf.dummyfunction("""COMPUTED_VALUE"""),"Введение в российское право")</f>
        <v>Введение в российское право</v>
      </c>
      <c r="K15" s="0" t="str">
        <f aca="false">IFERROR(__xludf.dummyfunction("""COMPUTED_VALUE"""),"Да")</f>
        <v>Да</v>
      </c>
      <c r="L15" s="0" t="str">
        <f aca="false">IFERROR(__xludf.dummyfunction("""COMPUTED_VALUE"""),"будет")</f>
        <v>будет</v>
      </c>
      <c r="M15" s="1" t="n">
        <v>1</v>
      </c>
      <c r="N15" s="1" t="n">
        <v>1</v>
      </c>
    </row>
    <row r="16" customFormat="false" ht="15.75" hidden="false" customHeight="false" outlineLevel="0" collapsed="false">
      <c r="A16" s="11" t="n">
        <f aca="false">IFERROR(__xludf.dummyfunction("""COMPUTED_VALUE"""),43219.8043655903)</f>
        <v>43219.80437</v>
      </c>
      <c r="B16" s="0" t="str">
        <f aca="false">IFERROR(__xludf.dummyfunction("""COMPUTED_VALUE"""),"Задворнов")</f>
        <v>Задворнов</v>
      </c>
      <c r="C16" s="0" t="str">
        <f aca="false">IFERROR(__xludf.dummyfunction("""COMPUTED_VALUE"""),"Вячеслав")</f>
        <v>Вячеслав</v>
      </c>
      <c r="D16" s="0" t="n">
        <f aca="false">IFERROR(__xludf.dummyfunction("""COMPUTED_VALUE"""),11)</f>
        <v>11</v>
      </c>
      <c r="E16" s="0" t="n">
        <f aca="false">IFERROR(__xludf.dummyfunction("""COMPUTED_VALUE"""),34)</f>
        <v>34</v>
      </c>
      <c r="G16" s="12" t="str">
        <f aca="false">IFERROR(__xludf.dummyfunction("""COMPUTED_VALUE"""),"vk.com/id209670944")</f>
        <v>vk.com/id209670944</v>
      </c>
      <c r="H16" s="0" t="str">
        <f aca="false">IFERROR(__xludf.dummyfunction("""COMPUTED_VALUE"""),"slzod@mail.ru")</f>
        <v>slzod@mail.ru</v>
      </c>
      <c r="I16" s="0" t="str">
        <f aca="false">IFERROR(__xludf.dummyfunction("""COMPUTED_VALUE"""),"Теория игр")</f>
        <v>Теория игр</v>
      </c>
      <c r="J16" s="0" t="str">
        <f aca="false">IFERROR(__xludf.dummyfunction("""COMPUTED_VALUE"""),"Теория вероятностей")</f>
        <v>Теория вероятностей</v>
      </c>
      <c r="K16" s="0" t="str">
        <f aca="false">IFERROR(__xludf.dummyfunction("""COMPUTED_VALUE"""),"Да")</f>
        <v>Да</v>
      </c>
      <c r="L16" s="0" t="str">
        <f aca="false">IFERROR(__xludf.dummyfunction("""COMPUTED_VALUE"""),"будет")</f>
        <v>будет</v>
      </c>
      <c r="M16" s="1" t="n">
        <v>1</v>
      </c>
      <c r="N16" s="1" t="n">
        <v>1</v>
      </c>
    </row>
    <row r="17" customFormat="false" ht="15.75" hidden="false" customHeight="false" outlineLevel="0" collapsed="false">
      <c r="A17" s="11" t="n">
        <f aca="false">IFERROR(__xludf.dummyfunction("""COMPUTED_VALUE"""),43219.8045988079)</f>
        <v>43219.8046</v>
      </c>
      <c r="B17" s="0" t="str">
        <f aca="false">IFERROR(__xludf.dummyfunction("""COMPUTED_VALUE"""),"Темерева")</f>
        <v>Темерева</v>
      </c>
      <c r="C17" s="0" t="str">
        <f aca="false">IFERROR(__xludf.dummyfunction("""COMPUTED_VALUE"""),"Алиса")</f>
        <v>Алиса</v>
      </c>
      <c r="D17" s="0" t="n">
        <f aca="false">IFERROR(__xludf.dummyfunction("""COMPUTED_VALUE"""),10)</f>
        <v>10</v>
      </c>
      <c r="E17" s="0" t="n">
        <f aca="false">IFERROR(__xludf.dummyfunction("""COMPUTED_VALUE"""),117)</f>
        <v>117</v>
      </c>
      <c r="G17" s="12" t="str">
        <f aca="false">IFERROR(__xludf.dummyfunction("""COMPUTED_VALUE"""),"vk.com/teemereva")</f>
        <v>vk.com/teemereva</v>
      </c>
      <c r="H17" s="0" t="str">
        <f aca="false">IFERROR(__xludf.dummyfunction("""COMPUTED_VALUE"""),"temerjevaalisa17@gmail.com")</f>
        <v>temerjevaalisa17@gmail.com</v>
      </c>
      <c r="I17" s="0" t="str">
        <f aca="false">IFERROR(__xludf.dummyfunction("""COMPUTED_VALUE"""),"Социология")</f>
        <v>Социология</v>
      </c>
      <c r="J17" s="0" t="str">
        <f aca="false">IFERROR(__xludf.dummyfunction("""COMPUTED_VALUE"""),"Экономическое мышление и никакой математики!")</f>
        <v>Экономическое мышление и никакой математики!</v>
      </c>
      <c r="K17" s="0" t="str">
        <f aca="false">IFERROR(__xludf.dummyfunction("""COMPUTED_VALUE"""),"Да")</f>
        <v>Да</v>
      </c>
      <c r="L17" s="0" t="str">
        <f aca="false">IFERROR(__xludf.dummyfunction("""COMPUTED_VALUE"""),"будет")</f>
        <v>будет</v>
      </c>
      <c r="M17" s="1" t="n">
        <v>1</v>
      </c>
      <c r="N17" s="1" t="n">
        <v>1</v>
      </c>
    </row>
    <row r="18" customFormat="false" ht="15.75" hidden="false" customHeight="false" outlineLevel="0" collapsed="false">
      <c r="A18" s="11" t="n">
        <f aca="false">IFERROR(__xludf.dummyfunction("""COMPUTED_VALUE"""),43219.8051531366)</f>
        <v>43219.80515</v>
      </c>
      <c r="B18" s="0" t="str">
        <f aca="false">IFERROR(__xludf.dummyfunction("""COMPUTED_VALUE"""),"Гнедина")</f>
        <v>Гнедина</v>
      </c>
      <c r="C18" s="0" t="str">
        <f aca="false">IFERROR(__xludf.dummyfunction("""COMPUTED_VALUE"""),"Юлия")</f>
        <v>Юлия</v>
      </c>
      <c r="D18" s="0" t="n">
        <f aca="false">IFERROR(__xludf.dummyfunction("""COMPUTED_VALUE"""),8)</f>
        <v>8</v>
      </c>
      <c r="E18" s="0" t="n">
        <f aca="false">IFERROR(__xludf.dummyfunction("""COMPUTED_VALUE"""),117)</f>
        <v>117</v>
      </c>
      <c r="G18" s="0" t="str">
        <f aca="false">IFERROR(__xludf.dummyfunction("""COMPUTED_VALUE"""),"Нет")</f>
        <v>Нет</v>
      </c>
      <c r="H18" s="0" t="str">
        <f aca="false">IFERROR(__xludf.dummyfunction("""COMPUTED_VALUE"""),"lula@mail.ru")</f>
        <v>lula@mail.ru</v>
      </c>
      <c r="I18" s="0" t="str">
        <f aca="false">IFERROR(__xludf.dummyfunction("""COMPUTED_VALUE"""),"Олимпиадная химия")</f>
        <v>Олимпиадная химия</v>
      </c>
      <c r="J18" s="0" t="str">
        <f aca="false">IFERROR(__xludf.dummyfunction("""COMPUTED_VALUE"""),"Биология")</f>
        <v>Биология</v>
      </c>
      <c r="K18" s="0" t="str">
        <f aca="false">IFERROR(__xludf.dummyfunction("""COMPUTED_VALUE"""),"Да")</f>
        <v>Да</v>
      </c>
      <c r="L18" s="0" t="str">
        <f aca="false">IFERROR(__xludf.dummyfunction("""COMPUTED_VALUE"""),"будет")</f>
        <v>будет</v>
      </c>
    </row>
    <row r="19" customFormat="false" ht="15.75" hidden="false" customHeight="false" outlineLevel="0" collapsed="false">
      <c r="A19" s="11" t="n">
        <f aca="false">IFERROR(__xludf.dummyfunction("""COMPUTED_VALUE"""),43219.8089802083)</f>
        <v>43219.80898</v>
      </c>
      <c r="B19" s="0" t="str">
        <f aca="false">IFERROR(__xludf.dummyfunction("""COMPUTED_VALUE"""),"Выдрин")</f>
        <v>Выдрин</v>
      </c>
      <c r="C19" s="0" t="str">
        <f aca="false">IFERROR(__xludf.dummyfunction("""COMPUTED_VALUE"""),"Антон")</f>
        <v>Антон</v>
      </c>
      <c r="D19" s="0" t="n">
        <f aca="false">IFERROR(__xludf.dummyfunction("""COMPUTED_VALUE"""),10)</f>
        <v>10</v>
      </c>
      <c r="E19" s="0" t="n">
        <f aca="false">IFERROR(__xludf.dummyfunction("""COMPUTED_VALUE"""),64)</f>
        <v>64</v>
      </c>
      <c r="G19" s="12" t="str">
        <f aca="false">IFERROR(__xludf.dummyfunction("""COMPUTED_VALUE"""),"vk.com/leepsi")</f>
        <v>vk.com/leepsi</v>
      </c>
      <c r="H19" s="0" t="str">
        <f aca="false">IFERROR(__xludf.dummyfunction("""COMPUTED_VALUE"""),"anton8311@mail.ru")</f>
        <v>anton8311@mail.ru</v>
      </c>
      <c r="I19" s="0" t="str">
        <f aca="false">IFERROR(__xludf.dummyfunction("""COMPUTED_VALUE"""),"Социология")</f>
        <v>Социология</v>
      </c>
      <c r="J19" s="0" t="str">
        <f aca="false">IFERROR(__xludf.dummyfunction("""COMPUTED_VALUE"""),"Олимпиадное программирование")</f>
        <v>Олимпиадное программирование</v>
      </c>
      <c r="K19" s="0" t="str">
        <f aca="false">IFERROR(__xludf.dummyfunction("""COMPUTED_VALUE"""),"Нет")</f>
        <v>Нет</v>
      </c>
      <c r="L19" s="0" t="str">
        <f aca="false">IFERROR(__xludf.dummyfunction("""COMPUTED_VALUE"""),"будет")</f>
        <v>будет</v>
      </c>
    </row>
    <row r="20" customFormat="false" ht="15.75" hidden="false" customHeight="false" outlineLevel="0" collapsed="false">
      <c r="A20" s="11" t="n">
        <f aca="false">IFERROR(__xludf.dummyfunction("""COMPUTED_VALUE"""),43219.8089916898)</f>
        <v>43219.80899</v>
      </c>
      <c r="B20" s="0" t="str">
        <f aca="false">IFERROR(__xludf.dummyfunction("""COMPUTED_VALUE"""),"Уманский")</f>
        <v>Уманский</v>
      </c>
      <c r="C20" s="0" t="str">
        <f aca="false">IFERROR(__xludf.dummyfunction("""COMPUTED_VALUE"""),"Роман")</f>
        <v>Роман</v>
      </c>
      <c r="D20" s="0" t="n">
        <f aca="false">IFERROR(__xludf.dummyfunction("""COMPUTED_VALUE"""),10)</f>
        <v>10</v>
      </c>
      <c r="E20" s="0" t="n">
        <f aca="false">IFERROR(__xludf.dummyfunction("""COMPUTED_VALUE"""),64)</f>
        <v>64</v>
      </c>
      <c r="G20" s="12" t="str">
        <f aca="false">IFERROR(__xludf.dummyfunction("""COMPUTED_VALUE"""),"vk.com/umnayshe4ka")</f>
        <v>vk.com/umnayshe4ka</v>
      </c>
      <c r="H20" s="0" t="str">
        <f aca="false">IFERROR(__xludf.dummyfunction("""COMPUTED_VALUE"""),"superpo4ta.rom@gmail.com")</f>
        <v>superpo4ta.rom@gmail.com</v>
      </c>
      <c r="I20" s="0" t="str">
        <f aca="false">IFERROR(__xludf.dummyfunction("""COMPUTED_VALUE"""),"Социология")</f>
        <v>Социология</v>
      </c>
      <c r="J20" s="0" t="str">
        <f aca="false">IFERROR(__xludf.dummyfunction("""COMPUTED_VALUE"""),"Олимпиадное программирование")</f>
        <v>Олимпиадное программирование</v>
      </c>
      <c r="K20" s="0" t="str">
        <f aca="false">IFERROR(__xludf.dummyfunction("""COMPUTED_VALUE"""),"Да")</f>
        <v>Да</v>
      </c>
      <c r="L20" s="0" t="str">
        <f aca="false">IFERROR(__xludf.dummyfunction("""COMPUTED_VALUE"""),"будет")</f>
        <v>будет</v>
      </c>
      <c r="M20" s="1" t="n">
        <v>1</v>
      </c>
      <c r="N20" s="1" t="n">
        <v>1</v>
      </c>
    </row>
    <row r="21" customFormat="false" ht="15.75" hidden="false" customHeight="false" outlineLevel="0" collapsed="false">
      <c r="A21" s="11" t="n">
        <f aca="false">IFERROR(__xludf.dummyfunction("""COMPUTED_VALUE"""),43219.8170103009)</f>
        <v>43219.81701</v>
      </c>
      <c r="B21" s="0" t="str">
        <f aca="false">IFERROR(__xludf.dummyfunction("""COMPUTED_VALUE"""),"Левченко")</f>
        <v>Левченко</v>
      </c>
      <c r="C21" s="0" t="str">
        <f aca="false">IFERROR(__xludf.dummyfunction("""COMPUTED_VALUE"""),"Владислав ")</f>
        <v>Владислав</v>
      </c>
      <c r="D21" s="0" t="n">
        <f aca="false">IFERROR(__xludf.dummyfunction("""COMPUTED_VALUE"""),10)</f>
        <v>10</v>
      </c>
      <c r="E21" s="0" t="n">
        <f aca="false">IFERROR(__xludf.dummyfunction("""COMPUTED_VALUE"""),64)</f>
        <v>64</v>
      </c>
      <c r="G21" s="12" t="str">
        <f aca="false">IFERROR(__xludf.dummyfunction("""COMPUTED_VALUE"""),"vk.com/zyymeboy")</f>
        <v>vk.com/zyymeboy</v>
      </c>
      <c r="H21" s="0" t="str">
        <f aca="false">IFERROR(__xludf.dummyfunction("""COMPUTED_VALUE"""),"levchenkoo.vladislav@gmail.com")</f>
        <v>levchenkoo.vladislav@gmail.com</v>
      </c>
      <c r="I21" s="0" t="str">
        <f aca="false">IFERROR(__xludf.dummyfunction("""COMPUTED_VALUE"""),"Социология")</f>
        <v>Социология</v>
      </c>
      <c r="J21" s="0" t="str">
        <f aca="false">IFERROR(__xludf.dummyfunction("""COMPUTED_VALUE"""),"Олимпиадное программирование")</f>
        <v>Олимпиадное программирование</v>
      </c>
      <c r="K21" s="0" t="str">
        <f aca="false">IFERROR(__xludf.dummyfunction("""COMPUTED_VALUE"""),"Нет")</f>
        <v>Нет</v>
      </c>
      <c r="L21" s="0" t="str">
        <f aca="false">IFERROR(__xludf.dummyfunction("""COMPUTED_VALUE"""),"будет")</f>
        <v>будет</v>
      </c>
      <c r="M21" s="1" t="n">
        <v>1</v>
      </c>
      <c r="N21" s="1" t="n">
        <v>1</v>
      </c>
    </row>
    <row r="22" customFormat="false" ht="15.75" hidden="false" customHeight="false" outlineLevel="0" collapsed="false">
      <c r="A22" s="11" t="n">
        <f aca="false">IFERROR(__xludf.dummyfunction("""COMPUTED_VALUE"""),43219.8291390162)</f>
        <v>43219.82914</v>
      </c>
      <c r="B22" s="0" t="str">
        <f aca="false">IFERROR(__xludf.dummyfunction("""COMPUTED_VALUE"""),"Ходарина")</f>
        <v>Ходарина</v>
      </c>
      <c r="C22" s="0" t="str">
        <f aca="false">IFERROR(__xludf.dummyfunction("""COMPUTED_VALUE"""),"Алина")</f>
        <v>Алина</v>
      </c>
      <c r="D22" s="0" t="n">
        <f aca="false">IFERROR(__xludf.dummyfunction("""COMPUTED_VALUE"""),10)</f>
        <v>10</v>
      </c>
      <c r="E22" s="0" t="n">
        <f aca="false">IFERROR(__xludf.dummyfunction("""COMPUTED_VALUE"""),149)</f>
        <v>149</v>
      </c>
      <c r="G22" s="12" t="str">
        <f aca="false">IFERROR(__xludf.dummyfunction("""COMPUTED_VALUE"""),"vk.com/ijustwannahearyouscreamagain")</f>
        <v>vk.com/ijustwannahearyouscreamagain</v>
      </c>
      <c r="H22" s="0" t="str">
        <f aca="false">IFERROR(__xludf.dummyfunction("""COMPUTED_VALUE"""),"alina_hodarina@mail.ru")</f>
        <v>alina_hodarina@mail.ru</v>
      </c>
      <c r="I22" s="0" t="str">
        <f aca="false">IFERROR(__xludf.dummyfunction("""COMPUTED_VALUE"""),"Социология")</f>
        <v>Социология</v>
      </c>
      <c r="J22" s="0" t="str">
        <f aca="false">IFERROR(__xludf.dummyfunction("""COMPUTED_VALUE"""),"Введение в российское право")</f>
        <v>Введение в российское право</v>
      </c>
      <c r="K22" s="0" t="str">
        <f aca="false">IFERROR(__xludf.dummyfunction("""COMPUTED_VALUE"""),"Нет")</f>
        <v>Нет</v>
      </c>
      <c r="L22" s="0" t="str">
        <f aca="false">IFERROR(__xludf.dummyfunction("""COMPUTED_VALUE"""),"будет")</f>
        <v>будет</v>
      </c>
      <c r="M22" s="1" t="n">
        <v>1</v>
      </c>
      <c r="N22" s="1" t="n">
        <v>1</v>
      </c>
    </row>
    <row r="23" customFormat="false" ht="15.75" hidden="false" customHeight="false" outlineLevel="0" collapsed="false">
      <c r="A23" s="11" t="n">
        <f aca="false">IFERROR(__xludf.dummyfunction("""COMPUTED_VALUE"""),43219.8299725)</f>
        <v>43219.82997</v>
      </c>
      <c r="B23" s="0" t="str">
        <f aca="false">IFERROR(__xludf.dummyfunction("""COMPUTED_VALUE"""),"Рядовой")</f>
        <v>Рядовой</v>
      </c>
      <c r="C23" s="0" t="str">
        <f aca="false">IFERROR(__xludf.dummyfunction("""COMPUTED_VALUE"""),"Тимофей")</f>
        <v>Тимофей</v>
      </c>
      <c r="D23" s="0" t="n">
        <f aca="false">IFERROR(__xludf.dummyfunction("""COMPUTED_VALUE"""),8)</f>
        <v>8</v>
      </c>
      <c r="E23" s="0" t="n">
        <f aca="false">IFERROR(__xludf.dummyfunction("""COMPUTED_VALUE"""),117)</f>
        <v>117</v>
      </c>
      <c r="G23" s="12" t="str">
        <f aca="false">IFERROR(__xludf.dummyfunction("""COMPUTED_VALUE"""),"vk.com/timfencing")</f>
        <v>vk.com/timfencing</v>
      </c>
      <c r="H23" s="0" t="str">
        <f aca="false">IFERROR(__xludf.dummyfunction("""COMPUTED_VALUE"""),"tim.ryadovou55@mail.ru")</f>
        <v>tim.ryadovou55@mail.ru</v>
      </c>
      <c r="I23" s="0" t="str">
        <f aca="false">IFERROR(__xludf.dummyfunction("""COMPUTED_VALUE"""),"Олимпиадная математика")</f>
        <v>Олимпиадная математика</v>
      </c>
      <c r="J23" s="0" t="str">
        <f aca="false">IFERROR(__xludf.dummyfunction("""COMPUTED_VALUE"""),"Меня не будет в эту половину")</f>
        <v>Меня не будет в эту половину</v>
      </c>
      <c r="K23" s="0" t="str">
        <f aca="false">IFERROR(__xludf.dummyfunction("""COMPUTED_VALUE"""),"Нет")</f>
        <v>Нет</v>
      </c>
      <c r="L23" s="0" t="str">
        <f aca="false">IFERROR(__xludf.dummyfunction("""COMPUTED_VALUE"""),"будет")</f>
        <v>будет</v>
      </c>
      <c r="N23" s="1" t="n">
        <v>1</v>
      </c>
    </row>
    <row r="24" customFormat="false" ht="15.75" hidden="false" customHeight="false" outlineLevel="0" collapsed="false">
      <c r="A24" s="11" t="n">
        <f aca="false">IFERROR(__xludf.dummyfunction("""COMPUTED_VALUE"""),43219.8390176389)</f>
        <v>43219.83902</v>
      </c>
      <c r="B24" s="0" t="str">
        <f aca="false">IFERROR(__xludf.dummyfunction("""COMPUTED_VALUE"""),"Сычов")</f>
        <v>Сычов</v>
      </c>
      <c r="C24" s="0" t="str">
        <f aca="false">IFERROR(__xludf.dummyfunction("""COMPUTED_VALUE"""),"Семён")</f>
        <v>Семён</v>
      </c>
      <c r="D24" s="0" t="n">
        <f aca="false">IFERROR(__xludf.dummyfunction("""COMPUTED_VALUE"""),10)</f>
        <v>10</v>
      </c>
      <c r="E24" s="0" t="n">
        <f aca="false">IFERROR(__xludf.dummyfunction("""COMPUTED_VALUE"""),64)</f>
        <v>64</v>
      </c>
      <c r="G24" s="12" t="str">
        <f aca="false">IFERROR(__xludf.dummyfunction("""COMPUTED_VALUE"""),"vk.com/sermon.kokosov")</f>
        <v>vk.com/sermon.kokosov</v>
      </c>
      <c r="H24" s="0" t="str">
        <f aca="false">IFERROR(__xludf.dummyfunction("""COMPUTED_VALUE"""),"sermonkokoso@yandex.ru")</f>
        <v>sermonkokoso@yandex.ru</v>
      </c>
      <c r="I24" s="0" t="str">
        <f aca="false">IFERROR(__xludf.dummyfunction("""COMPUTED_VALUE"""),"Социология")</f>
        <v>Социология</v>
      </c>
      <c r="J24" s="0" t="str">
        <f aca="false">IFERROR(__xludf.dummyfunction("""COMPUTED_VALUE"""),"Экономическое мышление и никакой математики!")</f>
        <v>Экономическое мышление и никакой математики!</v>
      </c>
      <c r="K24" s="0" t="str">
        <f aca="false">IFERROR(__xludf.dummyfunction("""COMPUTED_VALUE"""),"Да")</f>
        <v>Да</v>
      </c>
      <c r="L24" s="0" t="str">
        <f aca="false">IFERROR(__xludf.dummyfunction("""COMPUTED_VALUE"""),"будет")</f>
        <v>будет</v>
      </c>
      <c r="N24" s="1" t="n">
        <v>1</v>
      </c>
    </row>
    <row r="25" customFormat="false" ht="15.75" hidden="false" customHeight="false" outlineLevel="0" collapsed="false">
      <c r="A25" s="11" t="n">
        <f aca="false">IFERROR(__xludf.dummyfunction("""COMPUTED_VALUE"""),43219.8391704051)</f>
        <v>43219.83917</v>
      </c>
      <c r="B25" s="0" t="str">
        <f aca="false">IFERROR(__xludf.dummyfunction("""COMPUTED_VALUE"""),"Протченко")</f>
        <v>Протченко</v>
      </c>
      <c r="C25" s="0" t="str">
        <f aca="false">IFERROR(__xludf.dummyfunction("""COMPUTED_VALUE"""),"Анастасия")</f>
        <v>Анастасия</v>
      </c>
      <c r="D25" s="0" t="n">
        <f aca="false">IFERROR(__xludf.dummyfunction("""COMPUTED_VALUE"""),8)</f>
        <v>8</v>
      </c>
      <c r="E25" s="0" t="n">
        <f aca="false">IFERROR(__xludf.dummyfunction("""COMPUTED_VALUE"""),117)</f>
        <v>117</v>
      </c>
      <c r="G25" s="12" t="str">
        <f aca="false">IFERROR(__xludf.dummyfunction("""COMPUTED_VALUE"""),"vk.com/id270970940")</f>
        <v>vk.com/id270970940</v>
      </c>
      <c r="H25" s="0" t="str">
        <f aca="false">IFERROR(__xludf.dummyfunction("""COMPUTED_VALUE"""),"protchenko-anastasiya-sergeevna@mail.ru")</f>
        <v>protchenko-anastasiya-sergeevna@mail.ru</v>
      </c>
      <c r="I25" s="0" t="str">
        <f aca="false">IFERROR(__xludf.dummyfunction("""COMPUTED_VALUE"""),"Биология")</f>
        <v>Биология</v>
      </c>
      <c r="J25" s="0" t="str">
        <f aca="false">IFERROR(__xludf.dummyfunction("""COMPUTED_VALUE"""),"Олимпиадная химия")</f>
        <v>Олимпиадная химия</v>
      </c>
      <c r="K25" s="0" t="str">
        <f aca="false">IFERROR(__xludf.dummyfunction("""COMPUTED_VALUE"""),"Нет")</f>
        <v>Нет</v>
      </c>
      <c r="L25" s="0" t="str">
        <f aca="false">IFERROR(__xludf.dummyfunction("""COMPUTED_VALUE"""),"будет")</f>
        <v>будет</v>
      </c>
      <c r="N25" s="1" t="n">
        <v>1</v>
      </c>
    </row>
    <row r="26" customFormat="false" ht="15.75" hidden="false" customHeight="false" outlineLevel="0" collapsed="false">
      <c r="A26" s="11" t="n">
        <f aca="false">IFERROR(__xludf.dummyfunction("""COMPUTED_VALUE"""),43219.8409502315)</f>
        <v>43219.84095</v>
      </c>
      <c r="B26" s="0" t="str">
        <f aca="false">IFERROR(__xludf.dummyfunction("""COMPUTED_VALUE"""),"Крючков")</f>
        <v>Крючков</v>
      </c>
      <c r="C26" s="0" t="str">
        <f aca="false">IFERROR(__xludf.dummyfunction("""COMPUTED_VALUE"""),"Михаил")</f>
        <v>Михаил</v>
      </c>
      <c r="D26" s="0" t="n">
        <f aca="false">IFERROR(__xludf.dummyfunction("""COMPUTED_VALUE"""),7)</f>
        <v>7</v>
      </c>
      <c r="E26" s="0" t="n">
        <f aca="false">IFERROR(__xludf.dummyfunction("""COMPUTED_VALUE"""),66)</f>
        <v>66</v>
      </c>
      <c r="F26" s="0" t="n">
        <f aca="false">IFERROR(__xludf.dummyfunction("""COMPUTED_VALUE"""),66)</f>
        <v>66</v>
      </c>
      <c r="G26" s="12" t="str">
        <f aca="false">IFERROR(__xludf.dummyfunction("""COMPUTED_VALUE"""),"vk.com/mihagg1")</f>
        <v>vk.com/mihagg1</v>
      </c>
      <c r="H26" s="0" t="str">
        <f aca="false">IFERROR(__xludf.dummyfunction("""COMPUTED_VALUE"""),"mihagg018@gmail.com")</f>
        <v>mihagg018@gmail.com</v>
      </c>
      <c r="I26" s="0" t="str">
        <f aca="false">IFERROR(__xludf.dummyfunction("""COMPUTED_VALUE"""),"Теория игр")</f>
        <v>Теория игр</v>
      </c>
      <c r="J26" s="0" t="str">
        <f aca="false">IFERROR(__xludf.dummyfunction("""COMPUTED_VALUE"""),"Экономическое мышление и никакой математики!")</f>
        <v>Экономическое мышление и никакой математики!</v>
      </c>
      <c r="K26" s="0" t="str">
        <f aca="false">IFERROR(__xludf.dummyfunction("""COMPUTED_VALUE"""),"Нет")</f>
        <v>Нет</v>
      </c>
      <c r="L26" s="0" t="str">
        <f aca="false">IFERROR(__xludf.dummyfunction("""COMPUTED_VALUE"""),"будет")</f>
        <v>будет</v>
      </c>
    </row>
    <row r="27" customFormat="false" ht="15.75" hidden="false" customHeight="false" outlineLevel="0" collapsed="false">
      <c r="A27" s="11" t="n">
        <f aca="false">IFERROR(__xludf.dummyfunction("""COMPUTED_VALUE"""),43219.8428541898)</f>
        <v>43219.84285</v>
      </c>
      <c r="B27" s="0" t="str">
        <f aca="false">IFERROR(__xludf.dummyfunction("""COMPUTED_VALUE"""),"Аверьянов")</f>
        <v>Аверьянов</v>
      </c>
      <c r="C27" s="0" t="str">
        <f aca="false">IFERROR(__xludf.dummyfunction("""COMPUTED_VALUE"""),"Сергей")</f>
        <v>Сергей</v>
      </c>
      <c r="D27" s="0" t="n">
        <f aca="false">IFERROR(__xludf.dummyfunction("""COMPUTED_VALUE"""),10)</f>
        <v>10</v>
      </c>
      <c r="E27" s="0" t="n">
        <f aca="false">IFERROR(__xludf.dummyfunction("""COMPUTED_VALUE"""),66)</f>
        <v>66</v>
      </c>
      <c r="G27" s="12" t="str">
        <f aca="false">IFERROR(__xludf.dummyfunction("""COMPUTED_VALUE"""),"vk.com/siemens1337")</f>
        <v>vk.com/siemens1337</v>
      </c>
      <c r="H27" s="0" t="str">
        <f aca="false">IFERROR(__xludf.dummyfunction("""COMPUTED_VALUE"""),"bozdyzbro@gmail.com")</f>
        <v>bozdyzbro@gmail.com</v>
      </c>
      <c r="I27" s="0" t="str">
        <f aca="false">IFERROR(__xludf.dummyfunction("""COMPUTED_VALUE"""),"Теория игр")</f>
        <v>Теория игр</v>
      </c>
      <c r="J27" s="0" t="str">
        <f aca="false">IFERROR(__xludf.dummyfunction("""COMPUTED_VALUE"""),"Олимпиадная математика")</f>
        <v>Олимпиадная математика</v>
      </c>
      <c r="K27" s="0" t="str">
        <f aca="false">IFERROR(__xludf.dummyfunction("""COMPUTED_VALUE"""),"Нет")</f>
        <v>Нет</v>
      </c>
      <c r="L27" s="0" t="str">
        <f aca="false">IFERROR(__xludf.dummyfunction("""COMPUTED_VALUE"""),"будет")</f>
        <v>будет</v>
      </c>
      <c r="N27" s="1" t="n">
        <v>1</v>
      </c>
    </row>
    <row r="28" customFormat="false" ht="15.75" hidden="false" customHeight="false" outlineLevel="0" collapsed="false">
      <c r="A28" s="11" t="n">
        <f aca="false">IFERROR(__xludf.dummyfunction("""COMPUTED_VALUE"""),43219.8444911806)</f>
        <v>43219.84449</v>
      </c>
      <c r="B28" s="0" t="str">
        <f aca="false">IFERROR(__xludf.dummyfunction("""COMPUTED_VALUE"""),"Киямова")</f>
        <v>Киямова</v>
      </c>
      <c r="C28" s="0" t="str">
        <f aca="false">IFERROR(__xludf.dummyfunction("""COMPUTED_VALUE"""),"Наиля")</f>
        <v>Наиля</v>
      </c>
      <c r="D28" s="0" t="n">
        <f aca="false">IFERROR(__xludf.dummyfunction("""COMPUTED_VALUE"""),10)</f>
        <v>10</v>
      </c>
      <c r="G28" s="12" t="str">
        <f aca="false">IFERROR(__xludf.dummyfunction("""COMPUTED_VALUE"""),"vk.com/loiwwer")</f>
        <v>vk.com/loiwwer</v>
      </c>
      <c r="H28" s="0" t="str">
        <f aca="false">IFERROR(__xludf.dummyfunction("""COMPUTED_VALUE"""),"nkom5507@gmail.com")</f>
        <v>nkom5507@gmail.com</v>
      </c>
      <c r="I28" s="0" t="str">
        <f aca="false">IFERROR(__xludf.dummyfunction("""COMPUTED_VALUE"""),"Программирование на arduino")</f>
        <v>Программирование на arduino</v>
      </c>
      <c r="J28" s="0" t="str">
        <f aca="false">IFERROR(__xludf.dummyfunction("""COMPUTED_VALUE"""),"Введение в анализ данных")</f>
        <v>Введение в анализ данных</v>
      </c>
      <c r="K28" s="0" t="str">
        <f aca="false">IFERROR(__xludf.dummyfunction("""COMPUTED_VALUE"""),"Да")</f>
        <v>Да</v>
      </c>
      <c r="L28" s="0" t="str">
        <f aca="false">IFERROR(__xludf.dummyfunction("""COMPUTED_VALUE"""),"будет")</f>
        <v>будет</v>
      </c>
      <c r="N28" s="1" t="n">
        <v>1</v>
      </c>
    </row>
    <row r="29" customFormat="false" ht="15.75" hidden="false" customHeight="false" outlineLevel="0" collapsed="false">
      <c r="A29" s="11" t="n">
        <f aca="false">IFERROR(__xludf.dummyfunction("""COMPUTED_VALUE"""),43219.8456938657)</f>
        <v>43219.84569</v>
      </c>
      <c r="B29" s="0" t="str">
        <f aca="false">IFERROR(__xludf.dummyfunction("""COMPUTED_VALUE"""),"Шмидт")</f>
        <v>Шмидт</v>
      </c>
      <c r="C29" s="0" t="str">
        <f aca="false">IFERROR(__xludf.dummyfunction("""COMPUTED_VALUE"""),"Алиса")</f>
        <v>Алиса</v>
      </c>
      <c r="D29" s="0" t="n">
        <f aca="false">IFERROR(__xludf.dummyfunction("""COMPUTED_VALUE"""),8)</f>
        <v>8</v>
      </c>
      <c r="E29" s="0" t="str">
        <f aca="false">IFERROR(__xludf.dummyfunction("""COMPUTED_VALUE"""),"Академический лицей при ОмГПУ")</f>
        <v>Академический лицей при ОмГПУ</v>
      </c>
      <c r="G29" s="12" t="str">
        <f aca="false">IFERROR(__xludf.dummyfunction("""COMPUTED_VALUE"""),"vk.com/malenkaia_esho")</f>
        <v>vk.com/malenkaia_esho</v>
      </c>
      <c r="H29" s="0" t="str">
        <f aca="false">IFERROR(__xludf.dummyfunction("""COMPUTED_VALUE"""),"aliska_shmidt@list.ru")</f>
        <v>aliska_shmidt@list.ru</v>
      </c>
      <c r="I29" s="0" t="str">
        <f aca="false">IFERROR(__xludf.dummyfunction("""COMPUTED_VALUE"""),"Социология")</f>
        <v>Социология</v>
      </c>
      <c r="J29" s="0" t="str">
        <f aca="false">IFERROR(__xludf.dummyfunction("""COMPUTED_VALUE"""),"Олимпиадная математика")</f>
        <v>Олимпиадная математика</v>
      </c>
      <c r="K29" s="0" t="str">
        <f aca="false">IFERROR(__xludf.dummyfunction("""COMPUTED_VALUE"""),"Нет")</f>
        <v>Нет</v>
      </c>
      <c r="L29" s="0" t="str">
        <f aca="false">IFERROR(__xludf.dummyfunction("""COMPUTED_VALUE"""),"неизвестно")</f>
        <v>неизвестно</v>
      </c>
      <c r="N29" s="1" t="n">
        <v>1</v>
      </c>
    </row>
    <row r="30" customFormat="false" ht="15.75" hidden="false" customHeight="false" outlineLevel="0" collapsed="false">
      <c r="A30" s="11" t="n">
        <f aca="false">IFERROR(__xludf.dummyfunction("""COMPUTED_VALUE"""),43219.8471419907)</f>
        <v>43219.84714</v>
      </c>
      <c r="B30" s="0" t="str">
        <f aca="false">IFERROR(__xludf.dummyfunction("""COMPUTED_VALUE"""),"Левченко")</f>
        <v>Левченко</v>
      </c>
      <c r="C30" s="0" t="str">
        <f aca="false">IFERROR(__xludf.dummyfunction("""COMPUTED_VALUE"""),"Егор")</f>
        <v>Егор</v>
      </c>
      <c r="D30" s="0" t="n">
        <f aca="false">IFERROR(__xludf.dummyfunction("""COMPUTED_VALUE"""),10)</f>
        <v>10</v>
      </c>
      <c r="E30" s="0" t="n">
        <f aca="false">IFERROR(__xludf.dummyfunction("""COMPUTED_VALUE"""),66)</f>
        <v>66</v>
      </c>
      <c r="G30" s="12" t="str">
        <f aca="false">IFERROR(__xludf.dummyfunction("""COMPUTED_VALUE"""),"vk.com/egorkaegorih")</f>
        <v>vk.com/egorkaegorih</v>
      </c>
      <c r="H30" s="0" t="str">
        <f aca="false">IFERROR(__xludf.dummyfunction("""COMPUTED_VALUE"""),"egorkaegorih@gmail.com")</f>
        <v>egorkaegorih@gmail.com</v>
      </c>
      <c r="I30" s="0" t="str">
        <f aca="false">IFERROR(__xludf.dummyfunction("""COMPUTED_VALUE"""),"Теория игр")</f>
        <v>Теория игр</v>
      </c>
      <c r="J30" s="0" t="str">
        <f aca="false">IFERROR(__xludf.dummyfunction("""COMPUTED_VALUE"""),"Олимпиадная математика")</f>
        <v>Олимпиадная математика</v>
      </c>
      <c r="K30" s="0" t="str">
        <f aca="false">IFERROR(__xludf.dummyfunction("""COMPUTED_VALUE"""),"Нет")</f>
        <v>Нет</v>
      </c>
      <c r="L30" s="0" t="str">
        <f aca="false">IFERROR(__xludf.dummyfunction("""COMPUTED_VALUE"""),"будет")</f>
        <v>будет</v>
      </c>
      <c r="N30" s="1" t="n">
        <v>1</v>
      </c>
    </row>
    <row r="31" customFormat="false" ht="15.75" hidden="false" customHeight="false" outlineLevel="0" collapsed="false">
      <c r="A31" s="11" t="n">
        <f aca="false">IFERROR(__xludf.dummyfunction("""COMPUTED_VALUE"""),43219.8475952546)</f>
        <v>43219.8476</v>
      </c>
      <c r="B31" s="0" t="str">
        <f aca="false">IFERROR(__xludf.dummyfunction("""COMPUTED_VALUE"""),"Рыбалко ")</f>
        <v>Рыбалко</v>
      </c>
      <c r="C31" s="0" t="str">
        <f aca="false">IFERROR(__xludf.dummyfunction("""COMPUTED_VALUE"""),"Александра")</f>
        <v>Александра</v>
      </c>
      <c r="D31" s="0" t="n">
        <f aca="false">IFERROR(__xludf.dummyfunction("""COMPUTED_VALUE"""),10)</f>
        <v>10</v>
      </c>
      <c r="E31" s="0" t="n">
        <f aca="false">IFERROR(__xludf.dummyfunction("""COMPUTED_VALUE"""),149)</f>
        <v>149</v>
      </c>
      <c r="G31" s="12" t="str">
        <f aca="false">IFERROR(__xludf.dummyfunction("""COMPUTED_VALUE"""),"vk.com/lexxandria")</f>
        <v>vk.com/lexxandria</v>
      </c>
      <c r="H31" s="0" t="str">
        <f aca="false">IFERROR(__xludf.dummyfunction("""COMPUTED_VALUE"""),"blue0alexandra0sky@gmail.com")</f>
        <v>blue0alexandra0sky@gmail.com</v>
      </c>
      <c r="I31" s="0" t="str">
        <f aca="false">IFERROR(__xludf.dummyfunction("""COMPUTED_VALUE"""),"Теория игр")</f>
        <v>Теория игр</v>
      </c>
      <c r="J31" s="0" t="str">
        <f aca="false">IFERROR(__xludf.dummyfunction("""COMPUTED_VALUE"""),"Введение в анализ данных")</f>
        <v>Введение в анализ данных</v>
      </c>
      <c r="K31" s="0" t="str">
        <f aca="false">IFERROR(__xludf.dummyfunction("""COMPUTED_VALUE"""),"Нет")</f>
        <v>Нет</v>
      </c>
      <c r="L31" s="0" t="str">
        <f aca="false">IFERROR(__xludf.dummyfunction("""COMPUTED_VALUE"""),"будет")</f>
        <v>будет</v>
      </c>
      <c r="M31" s="1" t="n">
        <v>1</v>
      </c>
      <c r="N31" s="1" t="n">
        <v>1</v>
      </c>
    </row>
    <row r="32" customFormat="false" ht="15.75" hidden="false" customHeight="false" outlineLevel="0" collapsed="false">
      <c r="A32" s="11" t="n">
        <f aca="false">IFERROR(__xludf.dummyfunction("""COMPUTED_VALUE"""),43219.863468912)</f>
        <v>43219.86347</v>
      </c>
      <c r="B32" s="0" t="str">
        <f aca="false">IFERROR(__xludf.dummyfunction("""COMPUTED_VALUE"""),"Тимомеев")</f>
        <v>Тимомеев</v>
      </c>
      <c r="C32" s="0" t="str">
        <f aca="false">IFERROR(__xludf.dummyfunction("""COMPUTED_VALUE"""),"Рустам")</f>
        <v>Рустам</v>
      </c>
      <c r="D32" s="0" t="n">
        <f aca="false">IFERROR(__xludf.dummyfunction("""COMPUTED_VALUE"""),9)</f>
        <v>9</v>
      </c>
      <c r="E32" s="0" t="n">
        <f aca="false">IFERROR(__xludf.dummyfunction("""COMPUTED_VALUE"""),117)</f>
        <v>117</v>
      </c>
      <c r="G32" s="12" t="str">
        <f aca="false">IFERROR(__xludf.dummyfunction("""COMPUTED_VALUE"""),"vk.com/1rustim1")</f>
        <v>vk.com/1rustim1</v>
      </c>
      <c r="H32" s="0" t="str">
        <f aca="false">IFERROR(__xludf.dummyfunction("""COMPUTED_VALUE"""),"rustim1112@gmail.com")</f>
        <v>rustim1112@gmail.com</v>
      </c>
      <c r="I32" s="0" t="str">
        <f aca="false">IFERROR(__xludf.dummyfunction("""COMPUTED_VALUE"""),"Теория игр")</f>
        <v>Теория игр</v>
      </c>
      <c r="J32" s="0" t="str">
        <f aca="false">IFERROR(__xludf.dummyfunction("""COMPUTED_VALUE"""),"Олимпиадная химия")</f>
        <v>Олимпиадная химия</v>
      </c>
      <c r="K32" s="0" t="str">
        <f aca="false">IFERROR(__xludf.dummyfunction("""COMPUTED_VALUE"""),"Нет")</f>
        <v>Нет</v>
      </c>
      <c r="L32" s="0" t="str">
        <f aca="false">IFERROR(__xludf.dummyfunction("""COMPUTED_VALUE"""),"будет")</f>
        <v>будет</v>
      </c>
      <c r="M32" s="1" t="n">
        <v>1</v>
      </c>
      <c r="N32" s="1" t="n">
        <v>1</v>
      </c>
    </row>
    <row r="33" customFormat="false" ht="15.75" hidden="false" customHeight="false" outlineLevel="0" collapsed="false">
      <c r="A33" s="11" t="n">
        <f aca="false">IFERROR(__xludf.dummyfunction("""COMPUTED_VALUE"""),43219.8656752083)</f>
        <v>43219.86568</v>
      </c>
      <c r="B33" s="0" t="str">
        <f aca="false">IFERROR(__xludf.dummyfunction("""COMPUTED_VALUE"""),"Ушакова")</f>
        <v>Ушакова</v>
      </c>
      <c r="C33" s="0" t="str">
        <f aca="false">IFERROR(__xludf.dummyfunction("""COMPUTED_VALUE"""),"Любовь")</f>
        <v>Любовь</v>
      </c>
      <c r="D33" s="0" t="n">
        <f aca="false">IFERROR(__xludf.dummyfunction("""COMPUTED_VALUE"""),7)</f>
        <v>7</v>
      </c>
      <c r="E33" s="0" t="n">
        <f aca="false">IFERROR(__xludf.dummyfunction("""COMPUTED_VALUE"""),117)</f>
        <v>117</v>
      </c>
      <c r="G33" s="12" t="str">
        <f aca="false">IFERROR(__xludf.dummyfunction("""COMPUTED_VALUE"""),"vk.com/liub04ka")</f>
        <v>vk.com/liub04ka</v>
      </c>
      <c r="H33" s="0" t="str">
        <f aca="false">IFERROR(__xludf.dummyfunction("""COMPUTED_VALUE"""),"Luba2004@inbox.ru")</f>
        <v>Luba2004@inbox.ru</v>
      </c>
      <c r="I33" s="0" t="str">
        <f aca="false">IFERROR(__xludf.dummyfunction("""COMPUTED_VALUE"""),"Меня не будет в эту половину")</f>
        <v>Меня не будет в эту половину</v>
      </c>
      <c r="J33" s="0" t="str">
        <f aca="false">IFERROR(__xludf.dummyfunction("""COMPUTED_VALUE"""),"Олимпиадная математика")</f>
        <v>Олимпиадная математика</v>
      </c>
      <c r="K33" s="0" t="str">
        <f aca="false">IFERROR(__xludf.dummyfunction("""COMPUTED_VALUE"""),"Нет")</f>
        <v>Нет</v>
      </c>
      <c r="L33" s="0" t="str">
        <f aca="false">IFERROR(__xludf.dummyfunction("""COMPUTED_VALUE"""),"будет")</f>
        <v>будет</v>
      </c>
    </row>
    <row r="34" customFormat="false" ht="15.75" hidden="false" customHeight="false" outlineLevel="0" collapsed="false">
      <c r="A34" s="11" t="n">
        <f aca="false">IFERROR(__xludf.dummyfunction("""COMPUTED_VALUE"""),43219.8735236227)</f>
        <v>43219.87352</v>
      </c>
      <c r="B34" s="0" t="str">
        <f aca="false">IFERROR(__xludf.dummyfunction("""COMPUTED_VALUE"""),"Давыдова ")</f>
        <v>Давыдова</v>
      </c>
      <c r="C34" s="0" t="str">
        <f aca="false">IFERROR(__xludf.dummyfunction("""COMPUTED_VALUE"""),"Елизавета ")</f>
        <v>Елизавета</v>
      </c>
      <c r="D34" s="0" t="n">
        <f aca="false">IFERROR(__xludf.dummyfunction("""COMPUTED_VALUE"""),7)</f>
        <v>7</v>
      </c>
      <c r="E34" s="0" t="n">
        <f aca="false">IFERROR(__xludf.dummyfunction("""COMPUTED_VALUE"""),117)</f>
        <v>117</v>
      </c>
      <c r="G34" s="0" t="str">
        <f aca="false">IFERROR(__xludf.dummyfunction("""COMPUTED_VALUE"""),"Нет")</f>
        <v>Нет</v>
      </c>
      <c r="H34" s="0" t="str">
        <f aca="false">IFERROR(__xludf.dummyfunction("""COMPUTED_VALUE"""),"irina-davidoff@mail.ru")</f>
        <v>irina-davidoff@mail.ru</v>
      </c>
      <c r="I34" s="0" t="str">
        <f aca="false">IFERROR(__xludf.dummyfunction("""COMPUTED_VALUE"""),"Социология")</f>
        <v>Социология</v>
      </c>
      <c r="J34" s="0" t="str">
        <f aca="false">IFERROR(__xludf.dummyfunction("""COMPUTED_VALUE"""),"Введение в российское право")</f>
        <v>Введение в российское право</v>
      </c>
      <c r="K34" s="0" t="str">
        <f aca="false">IFERROR(__xludf.dummyfunction("""COMPUTED_VALUE"""),"Нет")</f>
        <v>Нет</v>
      </c>
      <c r="L34" s="0" t="str">
        <f aca="false">IFERROR(__xludf.dummyfunction("""COMPUTED_VALUE"""),"неизвестно")</f>
        <v>неизвестно</v>
      </c>
      <c r="N34" s="1" t="n">
        <v>1</v>
      </c>
    </row>
    <row r="35" customFormat="false" ht="15.75" hidden="false" customHeight="false" outlineLevel="0" collapsed="false">
      <c r="A35" s="11" t="n">
        <f aca="false">IFERROR(__xludf.dummyfunction("""COMPUTED_VALUE"""),43219.8753747338)</f>
        <v>43219.87537</v>
      </c>
      <c r="B35" s="0" t="str">
        <f aca="false">IFERROR(__xludf.dummyfunction("""COMPUTED_VALUE"""),"Лапшин")</f>
        <v>Лапшин</v>
      </c>
      <c r="C35" s="0" t="str">
        <f aca="false">IFERROR(__xludf.dummyfunction("""COMPUTED_VALUE"""),"Георгий")</f>
        <v>Георгий</v>
      </c>
      <c r="D35" s="0" t="n">
        <f aca="false">IFERROR(__xludf.dummyfunction("""COMPUTED_VALUE"""),10)</f>
        <v>10</v>
      </c>
      <c r="E35" s="0" t="n">
        <f aca="false">IFERROR(__xludf.dummyfunction("""COMPUTED_VALUE"""),64)</f>
        <v>64</v>
      </c>
      <c r="G35" s="0" t="str">
        <f aca="false">IFERROR(__xludf.dummyfunction("""COMPUTED_VALUE"""),"Нет")</f>
        <v>Нет</v>
      </c>
      <c r="H35" s="0" t="str">
        <f aca="false">IFERROR(__xludf.dummyfunction("""COMPUTED_VALUE"""),"gerlaps@gmail.com")</f>
        <v>gerlaps@gmail.com</v>
      </c>
      <c r="I35" s="0" t="str">
        <f aca="false">IFERROR(__xludf.dummyfunction("""COMPUTED_VALUE"""),"Социология")</f>
        <v>Социология</v>
      </c>
      <c r="J35" s="0" t="str">
        <f aca="false">IFERROR(__xludf.dummyfunction("""COMPUTED_VALUE"""),"Введение в роль элитных противостояний в истории")</f>
        <v>Введение в роль элитных противостояний в истории</v>
      </c>
      <c r="K35" s="0" t="str">
        <f aca="false">IFERROR(__xludf.dummyfunction("""COMPUTED_VALUE"""),"Да")</f>
        <v>Да</v>
      </c>
      <c r="L35" s="0" t="str">
        <f aca="false">IFERROR(__xludf.dummyfunction("""COMPUTED_VALUE"""),"неизвестно")</f>
        <v>неизвестно</v>
      </c>
    </row>
    <row r="36" customFormat="false" ht="15.75" hidden="false" customHeight="false" outlineLevel="0" collapsed="false">
      <c r="A36" s="11" t="n">
        <f aca="false">IFERROR(__xludf.dummyfunction("""COMPUTED_VALUE"""),43219.8829114005)</f>
        <v>43219.88291</v>
      </c>
      <c r="B36" s="0" t="str">
        <f aca="false">IFERROR(__xludf.dummyfunction("""COMPUTED_VALUE"""),"Голицына")</f>
        <v>Голицына</v>
      </c>
      <c r="C36" s="0" t="str">
        <f aca="false">IFERROR(__xludf.dummyfunction("""COMPUTED_VALUE"""),"Анастасия ")</f>
        <v>Анастасия</v>
      </c>
      <c r="D36" s="0" t="n">
        <f aca="false">IFERROR(__xludf.dummyfunction("""COMPUTED_VALUE"""),7)</f>
        <v>7</v>
      </c>
      <c r="E36" s="0" t="n">
        <f aca="false">IFERROR(__xludf.dummyfunction("""COMPUTED_VALUE"""),117)</f>
        <v>117</v>
      </c>
      <c r="G36" s="12" t="str">
        <f aca="false">IFERROR(__xludf.dummyfunction("""COMPUTED_VALUE"""),"vk.com/id445282722")</f>
        <v>vk.com/id445282722</v>
      </c>
      <c r="H36" s="0" t="str">
        <f aca="false">IFERROR(__xludf.dummyfunction("""COMPUTED_VALUE"""),"katy198155@yandex.ru")</f>
        <v>katy198155@yandex.ru</v>
      </c>
      <c r="I36" s="0" t="str">
        <f aca="false">IFERROR(__xludf.dummyfunction("""COMPUTED_VALUE"""),"Социология")</f>
        <v>Социология</v>
      </c>
      <c r="J36" s="0" t="str">
        <f aca="false">IFERROR(__xludf.dummyfunction("""COMPUTED_VALUE"""),"Меня не будет в эту половину")</f>
        <v>Меня не будет в эту половину</v>
      </c>
      <c r="K36" s="0" t="str">
        <f aca="false">IFERROR(__xludf.dummyfunction("""COMPUTED_VALUE"""),"Нет")</f>
        <v>Нет</v>
      </c>
      <c r="L36" s="0" t="str">
        <f aca="false">IFERROR(__xludf.dummyfunction("""COMPUTED_VALUE"""),"будет")</f>
        <v>будет</v>
      </c>
    </row>
    <row r="37" customFormat="false" ht="15.75" hidden="false" customHeight="false" outlineLevel="0" collapsed="false">
      <c r="A37" s="11" t="n">
        <f aca="false">IFERROR(__xludf.dummyfunction("""COMPUTED_VALUE"""),43219.8912425463)</f>
        <v>43219.89124</v>
      </c>
      <c r="B37" s="0" t="str">
        <f aca="false">IFERROR(__xludf.dummyfunction("""COMPUTED_VALUE"""),"Шпакова")</f>
        <v>Шпакова</v>
      </c>
      <c r="C37" s="0" t="str">
        <f aca="false">IFERROR(__xludf.dummyfunction("""COMPUTED_VALUE"""),"Евгения")</f>
        <v>Евгения</v>
      </c>
      <c r="D37" s="0" t="n">
        <f aca="false">IFERROR(__xludf.dummyfunction("""COMPUTED_VALUE"""),10)</f>
        <v>10</v>
      </c>
      <c r="E37" s="0" t="str">
        <f aca="false">IFERROR(__xludf.dummyfunction("""COMPUTED_VALUE"""),"Лицей НИУ ВШЭ")</f>
        <v>Лицей НИУ ВШЭ</v>
      </c>
      <c r="G37" s="12" t="str">
        <f aca="false">IFERROR(__xludf.dummyfunction("""COMPUTED_VALUE"""),"vk.com/evlgenius")</f>
        <v>vk.com/evlgenius</v>
      </c>
      <c r="H37" s="0" t="str">
        <f aca="false">IFERROR(__xludf.dummyfunction("""COMPUTED_VALUE"""),"shpakova1201@mail.ru")</f>
        <v>shpakova1201@mail.ru</v>
      </c>
      <c r="I37" s="0" t="str">
        <f aca="false">IFERROR(__xludf.dummyfunction("""COMPUTED_VALUE"""),"Теория игр")</f>
        <v>Теория игр</v>
      </c>
      <c r="J37" s="0" t="str">
        <f aca="false">IFERROR(__xludf.dummyfunction("""COMPUTED_VALUE"""),"Введение в анализ данных")</f>
        <v>Введение в анализ данных</v>
      </c>
      <c r="K37" s="0" t="str">
        <f aca="false">IFERROR(__xludf.dummyfunction("""COMPUTED_VALUE"""),"Нет")</f>
        <v>Нет</v>
      </c>
      <c r="L37" s="0" t="str">
        <f aca="false">IFERROR(__xludf.dummyfunction("""COMPUTED_VALUE"""),"будет")</f>
        <v>будет</v>
      </c>
    </row>
    <row r="38" customFormat="false" ht="15.75" hidden="false" customHeight="false" outlineLevel="0" collapsed="false">
      <c r="A38" s="11" t="n">
        <f aca="false">IFERROR(__xludf.dummyfunction("""COMPUTED_VALUE"""),43220.006485463)</f>
        <v>43220.00649</v>
      </c>
      <c r="B38" s="0" t="str">
        <f aca="false">IFERROR(__xludf.dummyfunction("""COMPUTED_VALUE"""),"Сидоров ")</f>
        <v>Сидоров</v>
      </c>
      <c r="C38" s="0" t="str">
        <f aca="false">IFERROR(__xludf.dummyfunction("""COMPUTED_VALUE"""),"Никита")</f>
        <v>Никита</v>
      </c>
      <c r="D38" s="0" t="n">
        <f aca="false">IFERROR(__xludf.dummyfunction("""COMPUTED_VALUE"""),7)</f>
        <v>7</v>
      </c>
      <c r="E38" s="0" t="n">
        <f aca="false">IFERROR(__xludf.dummyfunction("""COMPUTED_VALUE"""),117)</f>
        <v>117</v>
      </c>
      <c r="G38" s="12" t="str">
        <f aca="false">IFERROR(__xludf.dummyfunction("""COMPUTED_VALUE"""),"vk.com/nsidorov2001")</f>
        <v>vk.com/nsidorov2001</v>
      </c>
      <c r="H38" s="0" t="str">
        <f aca="false">IFERROR(__xludf.dummyfunction("""COMPUTED_VALUE"""),"nikita.sidorov666@mail.ru")</f>
        <v>nikita.sidorov666@mail.ru</v>
      </c>
      <c r="I38" s="0" t="str">
        <f aca="false">IFERROR(__xludf.dummyfunction("""COMPUTED_VALUE"""),"Социология")</f>
        <v>Социология</v>
      </c>
      <c r="J38" s="0" t="str">
        <f aca="false">IFERROR(__xludf.dummyfunction("""COMPUTED_VALUE"""),"Введение в российское право")</f>
        <v>Введение в российское право</v>
      </c>
      <c r="K38" s="0" t="str">
        <f aca="false">IFERROR(__xludf.dummyfunction("""COMPUTED_VALUE"""),"Нет")</f>
        <v>Нет</v>
      </c>
      <c r="L38" s="0" t="str">
        <f aca="false">IFERROR(__xludf.dummyfunction("""COMPUTED_VALUE"""),"будет")</f>
        <v>будет</v>
      </c>
      <c r="M38" s="1" t="n">
        <v>1</v>
      </c>
      <c r="N38" s="1" t="n">
        <v>1</v>
      </c>
    </row>
    <row r="39" customFormat="false" ht="15.75" hidden="false" customHeight="false" outlineLevel="0" collapsed="false">
      <c r="A39" s="11" t="n">
        <f aca="false">IFERROR(__xludf.dummyfunction("""COMPUTED_VALUE"""),43220.1869950695)</f>
        <v>43220.187</v>
      </c>
      <c r="B39" s="0" t="str">
        <f aca="false">IFERROR(__xludf.dummyfunction("""COMPUTED_VALUE"""),"Зольников")</f>
        <v>Зольников</v>
      </c>
      <c r="C39" s="0" t="str">
        <f aca="false">IFERROR(__xludf.dummyfunction("""COMPUTED_VALUE"""),"Андрей")</f>
        <v>Андрей</v>
      </c>
      <c r="D39" s="0" t="n">
        <f aca="false">IFERROR(__xludf.dummyfunction("""COMPUTED_VALUE"""),11)</f>
        <v>11</v>
      </c>
      <c r="E39" s="0" t="n">
        <f aca="false">IFERROR(__xludf.dummyfunction("""COMPUTED_VALUE"""),117)</f>
        <v>117</v>
      </c>
      <c r="G39" s="12" t="str">
        <f aca="false">IFERROR(__xludf.dummyfunction("""COMPUTED_VALUE"""),"vk.com/andrezolnikov")</f>
        <v>vk.com/andrezolnikov</v>
      </c>
      <c r="H39" s="0" t="str">
        <f aca="false">IFERROR(__xludf.dummyfunction("""COMPUTED_VALUE"""),"zolnikov00@ya.ru")</f>
        <v>zolnikov00@ya.ru</v>
      </c>
      <c r="I39" s="0" t="str">
        <f aca="false">IFERROR(__xludf.dummyfunction("""COMPUTED_VALUE"""),"Международное право")</f>
        <v>Международное право</v>
      </c>
      <c r="J39" s="0" t="str">
        <f aca="false">IFERROR(__xludf.dummyfunction("""COMPUTED_VALUE"""),"Введение в российское право")</f>
        <v>Введение в российское право</v>
      </c>
      <c r="K39" s="0" t="str">
        <f aca="false">IFERROR(__xludf.dummyfunction("""COMPUTED_VALUE"""),"Да")</f>
        <v>Да</v>
      </c>
      <c r="L39" s="0" t="str">
        <f aca="false">IFERROR(__xludf.dummyfunction("""COMPUTED_VALUE"""),"будет")</f>
        <v>будет</v>
      </c>
    </row>
    <row r="40" customFormat="false" ht="15.75" hidden="false" customHeight="false" outlineLevel="0" collapsed="false">
      <c r="A40" s="11" t="n">
        <f aca="false">IFERROR(__xludf.dummyfunction("""COMPUTED_VALUE"""),43220.1881376852)</f>
        <v>43220.18814</v>
      </c>
      <c r="B40" s="0" t="str">
        <f aca="false">IFERROR(__xludf.dummyfunction("""COMPUTED_VALUE"""),"Лян")</f>
        <v>Лян</v>
      </c>
      <c r="C40" s="0" t="str">
        <f aca="false">IFERROR(__xludf.dummyfunction("""COMPUTED_VALUE"""),"Вячеслав")</f>
        <v>Вячеслав</v>
      </c>
      <c r="D40" s="0" t="n">
        <f aca="false">IFERROR(__xludf.dummyfunction("""COMPUTED_VALUE"""),10)</f>
        <v>10</v>
      </c>
      <c r="E40" s="0" t="n">
        <f aca="false">IFERROR(__xludf.dummyfunction("""COMPUTED_VALUE"""),117)</f>
        <v>117</v>
      </c>
      <c r="G40" s="12" t="str">
        <f aca="false">IFERROR(__xludf.dummyfunction("""COMPUTED_VALUE"""),"vk.com/id225935599")</f>
        <v>vk.com/id225935599</v>
      </c>
      <c r="H40" s="0" t="str">
        <f aca="false">IFERROR(__xludf.dummyfunction("""COMPUTED_VALUE"""),"slava_lan@mail.ru")</f>
        <v>slava_lan@mail.ru</v>
      </c>
      <c r="I40" s="0" t="str">
        <f aca="false">IFERROR(__xludf.dummyfunction("""COMPUTED_VALUE"""),"Введение в анализ данных")</f>
        <v>Введение в анализ данных</v>
      </c>
      <c r="J40" s="0" t="str">
        <f aca="false">IFERROR(__xludf.dummyfunction("""COMPUTED_VALUE"""),"Введение в российское право")</f>
        <v>Введение в российское право</v>
      </c>
      <c r="K40" s="0" t="str">
        <f aca="false">IFERROR(__xludf.dummyfunction("""COMPUTED_VALUE"""),"Нет")</f>
        <v>Нет</v>
      </c>
      <c r="L40" s="0" t="str">
        <f aca="false">IFERROR(__xludf.dummyfunction("""COMPUTED_VALUE"""),"будет")</f>
        <v>будет</v>
      </c>
      <c r="M40" s="1" t="n">
        <v>1</v>
      </c>
      <c r="N40" s="1" t="n">
        <v>1</v>
      </c>
    </row>
    <row r="41" customFormat="false" ht="15.75" hidden="false" customHeight="false" outlineLevel="0" collapsed="false">
      <c r="A41" s="11" t="n">
        <f aca="false">IFERROR(__xludf.dummyfunction("""COMPUTED_VALUE"""),43220.2120007407)</f>
        <v>43220.212</v>
      </c>
      <c r="B41" s="0" t="str">
        <f aca="false">IFERROR(__xludf.dummyfunction("""COMPUTED_VALUE"""),"Борисец ")</f>
        <v>Борисец</v>
      </c>
      <c r="C41" s="0" t="str">
        <f aca="false">IFERROR(__xludf.dummyfunction("""COMPUTED_VALUE"""),"Анастасия ")</f>
        <v>Анастасия</v>
      </c>
      <c r="D41" s="0" t="n">
        <f aca="false">IFERROR(__xludf.dummyfunction("""COMPUTED_VALUE"""),8)</f>
        <v>8</v>
      </c>
      <c r="E41" s="0" t="n">
        <f aca="false">IFERROR(__xludf.dummyfunction("""COMPUTED_VALUE"""),117)</f>
        <v>117</v>
      </c>
      <c r="G41" s="0" t="str">
        <f aca="false">IFERROR(__xludf.dummyfunction("""COMPUTED_VALUE"""),"Нет")</f>
        <v>Нет</v>
      </c>
      <c r="H41" s="0" t="str">
        <f aca="false">IFERROR(__xludf.dummyfunction("""COMPUTED_VALUE"""),"sherlock.2002@mail.ru")</f>
        <v>sherlock.2002@mail.ru</v>
      </c>
      <c r="I41" s="0" t="str">
        <f aca="false">IFERROR(__xludf.dummyfunction("""COMPUTED_VALUE"""),"Олимпиадная химия")</f>
        <v>Олимпиадная химия</v>
      </c>
      <c r="J41" s="0" t="str">
        <f aca="false">IFERROR(__xludf.dummyfunction("""COMPUTED_VALUE"""),"Биология")</f>
        <v>Биология</v>
      </c>
      <c r="K41" s="0" t="str">
        <f aca="false">IFERROR(__xludf.dummyfunction("""COMPUTED_VALUE"""),"Нет")</f>
        <v>Нет</v>
      </c>
      <c r="L41" s="0" t="str">
        <f aca="false">IFERROR(__xludf.dummyfunction("""COMPUTED_VALUE"""),"будет")</f>
        <v>будет</v>
      </c>
    </row>
    <row r="42" customFormat="false" ht="15.75" hidden="false" customHeight="false" outlineLevel="0" collapsed="false">
      <c r="A42" s="11" t="n">
        <f aca="false">IFERROR(__xludf.dummyfunction("""COMPUTED_VALUE"""),43220.2323571296)</f>
        <v>43220.23236</v>
      </c>
      <c r="B42" s="0" t="str">
        <f aca="false">IFERROR(__xludf.dummyfunction("""COMPUTED_VALUE"""),"Черных")</f>
        <v>Черных</v>
      </c>
      <c r="C42" s="0" t="str">
        <f aca="false">IFERROR(__xludf.dummyfunction("""COMPUTED_VALUE"""),"Софья")</f>
        <v>Софья</v>
      </c>
      <c r="D42" s="0" t="n">
        <f aca="false">IFERROR(__xludf.dummyfunction("""COMPUTED_VALUE"""),10)</f>
        <v>10</v>
      </c>
      <c r="E42" s="0" t="n">
        <f aca="false">IFERROR(__xludf.dummyfunction("""COMPUTED_VALUE"""),63)</f>
        <v>63</v>
      </c>
      <c r="G42" s="12" t="str">
        <f aca="false">IFERROR(__xludf.dummyfunction("""COMPUTED_VALUE"""),"vk.com/id226113989")</f>
        <v>vk.com/id226113989</v>
      </c>
      <c r="H42" s="0" t="str">
        <f aca="false">IFERROR(__xludf.dummyfunction("""COMPUTED_VALUE"""),"sofya.chernyx@inbox.ru")</f>
        <v>sofya.chernyx@inbox.ru</v>
      </c>
      <c r="I42" s="0" t="str">
        <f aca="false">IFERROR(__xludf.dummyfunction("""COMPUTED_VALUE"""),"Теория игр")</f>
        <v>Теория игр</v>
      </c>
      <c r="J42" s="0" t="str">
        <f aca="false">IFERROR(__xludf.dummyfunction("""COMPUTED_VALUE"""),"Олимпиадная химия")</f>
        <v>Олимпиадная химия</v>
      </c>
      <c r="K42" s="0" t="str">
        <f aca="false">IFERROR(__xludf.dummyfunction("""COMPUTED_VALUE"""),"Нет")</f>
        <v>Нет</v>
      </c>
      <c r="L42" s="0" t="str">
        <f aca="false">IFERROR(__xludf.dummyfunction("""COMPUTED_VALUE"""),"будет")</f>
        <v>будет</v>
      </c>
    </row>
    <row r="43" customFormat="false" ht="15.75" hidden="false" customHeight="false" outlineLevel="0" collapsed="false">
      <c r="A43" s="11" t="n">
        <f aca="false">IFERROR(__xludf.dummyfunction("""COMPUTED_VALUE"""),43220.236149456)</f>
        <v>43220.23615</v>
      </c>
      <c r="B43" s="0" t="str">
        <f aca="false">IFERROR(__xludf.dummyfunction("""COMPUTED_VALUE"""),"Панов")</f>
        <v>Панов</v>
      </c>
      <c r="C43" s="0" t="str">
        <f aca="false">IFERROR(__xludf.dummyfunction("""COMPUTED_VALUE"""),"Севастьян")</f>
        <v>Севастьян</v>
      </c>
      <c r="D43" s="0" t="n">
        <f aca="false">IFERROR(__xludf.dummyfunction("""COMPUTED_VALUE"""),9)</f>
        <v>9</v>
      </c>
      <c r="E43" s="0" t="n">
        <f aca="false">IFERROR(__xludf.dummyfunction("""COMPUTED_VALUE"""),117)</f>
        <v>117</v>
      </c>
      <c r="G43" s="0" t="str">
        <f aca="false">IFERROR(__xludf.dummyfunction("""COMPUTED_VALUE"""),"Нет")</f>
        <v>Нет</v>
      </c>
      <c r="H43" s="0" t="str">
        <f aca="false">IFERROR(__xludf.dummyfunction("""COMPUTED_VALUE"""),"sevapanov@andex.ru")</f>
        <v>sevapanov@andex.ru</v>
      </c>
      <c r="I43" s="0" t="str">
        <f aca="false">IFERROR(__xludf.dummyfunction("""COMPUTED_VALUE"""),"Биология")</f>
        <v>Биология</v>
      </c>
      <c r="J43" s="0" t="str">
        <f aca="false">IFERROR(__xludf.dummyfunction("""COMPUTED_VALUE"""),"Мобильный геймдев")</f>
        <v>Мобильный геймдев</v>
      </c>
      <c r="K43" s="0" t="str">
        <f aca="false">IFERROR(__xludf.dummyfunction("""COMPUTED_VALUE"""),"Да")</f>
        <v>Да</v>
      </c>
      <c r="L43" s="0" t="str">
        <f aca="false">IFERROR(__xludf.dummyfunction("""COMPUTED_VALUE"""),"будет")</f>
        <v>будет</v>
      </c>
      <c r="M43" s="1" t="n">
        <v>1</v>
      </c>
      <c r="N43" s="1" t="n">
        <v>1</v>
      </c>
    </row>
    <row r="44" customFormat="false" ht="15.75" hidden="false" customHeight="false" outlineLevel="0" collapsed="false">
      <c r="A44" s="11" t="n">
        <f aca="false">IFERROR(__xludf.dummyfunction("""COMPUTED_VALUE"""),43220.2772982986)</f>
        <v>43220.2773</v>
      </c>
      <c r="B44" s="0" t="str">
        <f aca="false">IFERROR(__xludf.dummyfunction("""COMPUTED_VALUE"""),"Зернюк ")</f>
        <v>Зернюк</v>
      </c>
      <c r="C44" s="0" t="str">
        <f aca="false">IFERROR(__xludf.dummyfunction("""COMPUTED_VALUE"""),"Андрей")</f>
        <v>Андрей</v>
      </c>
      <c r="D44" s="0" t="n">
        <f aca="false">IFERROR(__xludf.dummyfunction("""COMPUTED_VALUE"""),8)</f>
        <v>8</v>
      </c>
      <c r="E44" s="0" t="n">
        <f aca="false">IFERROR(__xludf.dummyfunction("""COMPUTED_VALUE"""),117)</f>
        <v>117</v>
      </c>
      <c r="G44" s="12" t="str">
        <f aca="false">IFERROR(__xludf.dummyfunction("""COMPUTED_VALUE"""),"vk.com/id230203504")</f>
        <v>vk.com/id230203504</v>
      </c>
      <c r="H44" s="0" t="str">
        <f aca="false">IFERROR(__xludf.dummyfunction("""COMPUTED_VALUE"""),"andrei.zerniuk@gmail.com")</f>
        <v>andrei.zerniuk@gmail.com</v>
      </c>
      <c r="I44" s="0" t="str">
        <f aca="false">IFERROR(__xludf.dummyfunction("""COMPUTED_VALUE"""),"Олимпиадная математика")</f>
        <v>Олимпиадная математика</v>
      </c>
      <c r="J44" s="0" t="str">
        <f aca="false">IFERROR(__xludf.dummyfunction("""COMPUTED_VALUE"""),"Теория вероятностей")</f>
        <v>Теория вероятностей</v>
      </c>
      <c r="K44" s="0" t="str">
        <f aca="false">IFERROR(__xludf.dummyfunction("""COMPUTED_VALUE"""),"Нет")</f>
        <v>Нет</v>
      </c>
      <c r="L44" s="0" t="str">
        <f aca="false">IFERROR(__xludf.dummyfunction("""COMPUTED_VALUE"""),"будет")</f>
        <v>будет</v>
      </c>
    </row>
    <row r="45" customFormat="false" ht="15.75" hidden="false" customHeight="false" outlineLevel="0" collapsed="false">
      <c r="A45" s="11" t="n">
        <f aca="false">IFERROR(__xludf.dummyfunction("""COMPUTED_VALUE"""),43220.2822944329)</f>
        <v>43220.28229</v>
      </c>
      <c r="B45" s="0" t="str">
        <f aca="false">IFERROR(__xludf.dummyfunction("""COMPUTED_VALUE"""),"Джураева")</f>
        <v>Джураева</v>
      </c>
      <c r="C45" s="0" t="str">
        <f aca="false">IFERROR(__xludf.dummyfunction("""COMPUTED_VALUE"""),"Рената")</f>
        <v>Рената</v>
      </c>
      <c r="D45" s="0" t="n">
        <f aca="false">IFERROR(__xludf.dummyfunction("""COMPUTED_VALUE"""),9)</f>
        <v>9</v>
      </c>
      <c r="E45" s="0" t="n">
        <f aca="false">IFERROR(__xludf.dummyfunction("""COMPUTED_VALUE"""),64)</f>
        <v>64</v>
      </c>
      <c r="G45" s="12" t="str">
        <f aca="false">IFERROR(__xludf.dummyfunction("""COMPUTED_VALUE"""),"vk.com/renata_eva ")</f>
        <v>vk.com/renata_eva</v>
      </c>
      <c r="H45" s="0" t="str">
        <f aca="false">IFERROR(__xludf.dummyfunction("""COMPUTED_VALUE"""),"renata_dj@mail.ru")</f>
        <v>renata_dj@mail.ru</v>
      </c>
      <c r="I45" s="0" t="str">
        <f aca="false">IFERROR(__xludf.dummyfunction("""COMPUTED_VALUE"""),"Теория игр")</f>
        <v>Теория игр</v>
      </c>
      <c r="J45" s="0" t="str">
        <f aca="false">IFERROR(__xludf.dummyfunction("""COMPUTED_VALUE"""),"Экономическое мышление и никакой математики!")</f>
        <v>Экономическое мышление и никакой математики!</v>
      </c>
      <c r="K45" s="0" t="str">
        <f aca="false">IFERROR(__xludf.dummyfunction("""COMPUTED_VALUE"""),"Нет")</f>
        <v>Нет</v>
      </c>
      <c r="L45" s="0" t="str">
        <f aca="false">IFERROR(__xludf.dummyfunction("""COMPUTED_VALUE"""),"будет")</f>
        <v>будет</v>
      </c>
    </row>
    <row r="46" customFormat="false" ht="15.75" hidden="false" customHeight="false" outlineLevel="0" collapsed="false">
      <c r="A46" s="11" t="n">
        <f aca="false">IFERROR(__xludf.dummyfunction("""COMPUTED_VALUE"""),43220.3440784028)</f>
        <v>43220.34408</v>
      </c>
      <c r="B46" s="0" t="str">
        <f aca="false">IFERROR(__xludf.dummyfunction("""COMPUTED_VALUE"""),"Кацуба ")</f>
        <v>Кацуба</v>
      </c>
      <c r="C46" s="0" t="str">
        <f aca="false">IFERROR(__xludf.dummyfunction("""COMPUTED_VALUE"""),"Андрей")</f>
        <v>Андрей</v>
      </c>
      <c r="D46" s="0" t="n">
        <f aca="false">IFERROR(__xludf.dummyfunction("""COMPUTED_VALUE"""),10)</f>
        <v>10</v>
      </c>
      <c r="E46" s="0" t="n">
        <f aca="false">IFERROR(__xludf.dummyfunction("""COMPUTED_VALUE"""),149)</f>
        <v>149</v>
      </c>
      <c r="G46" s="12" t="str">
        <f aca="false">IFERROR(__xludf.dummyfunction("""COMPUTED_VALUE"""),"vk.com/id269671662")</f>
        <v>vk.com/id269671662</v>
      </c>
      <c r="H46" s="0" t="str">
        <f aca="false">IFERROR(__xludf.dummyfunction("""COMPUTED_VALUE"""),"kacuba1981kk@mail.ru")</f>
        <v>kacuba1981kk@mail.ru</v>
      </c>
      <c r="I46" s="0" t="str">
        <f aca="false">IFERROR(__xludf.dummyfunction("""COMPUTED_VALUE"""),"Социология")</f>
        <v>Социология</v>
      </c>
      <c r="J46" s="0" t="str">
        <f aca="false">IFERROR(__xludf.dummyfunction("""COMPUTED_VALUE"""),"Границы применимости физических моделей")</f>
        <v>Границы применимости физических моделей</v>
      </c>
      <c r="K46" s="0" t="str">
        <f aca="false">IFERROR(__xludf.dummyfunction("""COMPUTED_VALUE"""),"Нет")</f>
        <v>Нет</v>
      </c>
      <c r="L46" s="0" t="str">
        <f aca="false">IFERROR(__xludf.dummyfunction("""COMPUTED_VALUE"""),"будет")</f>
        <v>будет</v>
      </c>
      <c r="M46" s="1" t="n">
        <v>1</v>
      </c>
      <c r="N46" s="1" t="n">
        <v>1</v>
      </c>
    </row>
    <row r="47" customFormat="false" ht="15.75" hidden="false" customHeight="false" outlineLevel="0" collapsed="false">
      <c r="A47" s="11" t="n">
        <f aca="false">IFERROR(__xludf.dummyfunction("""COMPUTED_VALUE"""),43220.3682816782)</f>
        <v>43220.36828</v>
      </c>
      <c r="B47" s="0" t="str">
        <f aca="false">IFERROR(__xludf.dummyfunction("""COMPUTED_VALUE"""),"Христолюбов")</f>
        <v>Христолюбов</v>
      </c>
      <c r="C47" s="0" t="str">
        <f aca="false">IFERROR(__xludf.dummyfunction("""COMPUTED_VALUE"""),"Богдан")</f>
        <v>Богдан</v>
      </c>
      <c r="D47" s="0" t="n">
        <f aca="false">IFERROR(__xludf.dummyfunction("""COMPUTED_VALUE"""),8)</f>
        <v>8</v>
      </c>
      <c r="E47" s="0" t="n">
        <f aca="false">IFERROR(__xludf.dummyfunction("""COMPUTED_VALUE"""),146)</f>
        <v>146</v>
      </c>
      <c r="G47" s="12" t="str">
        <f aca="false">IFERROR(__xludf.dummyfunction("""COMPUTED_VALUE"""),"vk.com/id382406601")</f>
        <v>vk.com/id382406601</v>
      </c>
      <c r="H47" s="0" t="str">
        <f aca="false">IFERROR(__xludf.dummyfunction("""COMPUTED_VALUE"""),"b140103@list.ru")</f>
        <v>b140103@list.ru</v>
      </c>
      <c r="I47" s="0" t="str">
        <f aca="false">IFERROR(__xludf.dummyfunction("""COMPUTED_VALUE"""),"Социология")</f>
        <v>Социология</v>
      </c>
      <c r="J47" s="0" t="str">
        <f aca="false">IFERROR(__xludf.dummyfunction("""COMPUTED_VALUE"""),"Введение в роль элитных противостояний в истории")</f>
        <v>Введение в роль элитных противостояний в истории</v>
      </c>
      <c r="K47" s="0" t="str">
        <f aca="false">IFERROR(__xludf.dummyfunction("""COMPUTED_VALUE"""),"Да")</f>
        <v>Да</v>
      </c>
      <c r="L47" s="0" t="str">
        <f aca="false">IFERROR(__xludf.dummyfunction("""COMPUTED_VALUE"""),"будет")</f>
        <v>будет</v>
      </c>
      <c r="N47" s="1"/>
    </row>
    <row r="48" customFormat="false" ht="15.75" hidden="false" customHeight="false" outlineLevel="0" collapsed="false">
      <c r="A48" s="11" t="n">
        <f aca="false">IFERROR(__xludf.dummyfunction("""COMPUTED_VALUE"""),43220.4017922801)</f>
        <v>43220.40179</v>
      </c>
      <c r="B48" s="0" t="str">
        <f aca="false">IFERROR(__xludf.dummyfunction("""COMPUTED_VALUE"""),"Суднев")</f>
        <v>Суднев</v>
      </c>
      <c r="C48" s="0" t="str">
        <f aca="false">IFERROR(__xludf.dummyfunction("""COMPUTED_VALUE"""),"Владимир")</f>
        <v>Владимир</v>
      </c>
      <c r="D48" s="0" t="n">
        <f aca="false">IFERROR(__xludf.dummyfunction("""COMPUTED_VALUE"""),10)</f>
        <v>10</v>
      </c>
      <c r="E48" s="0" t="str">
        <f aca="false">IFERROR(__xludf.dummyfunction("""COMPUTED_VALUE"""),"БПОУ «Омавиат»")</f>
        <v>БПОУ «Омавиат»</v>
      </c>
      <c r="G48" s="12" t="str">
        <f aca="false">IFERROR(__xludf.dummyfunction("""COMPUTED_VALUE"""),"vk.com/dref55")</f>
        <v>vk.com/dref55</v>
      </c>
      <c r="H48" s="0" t="str">
        <f aca="false">IFERROR(__xludf.dummyfunction("""COMPUTED_VALUE"""),"drefteam@gmail.com")</f>
        <v>drefteam@gmail.com</v>
      </c>
      <c r="I48" s="0" t="str">
        <f aca="false">IFERROR(__xludf.dummyfunction("""COMPUTED_VALUE"""),"Международное право")</f>
        <v>Международное право</v>
      </c>
      <c r="J48" s="0" t="str">
        <f aca="false">IFERROR(__xludf.dummyfunction("""COMPUTED_VALUE"""),"Введение в российское право")</f>
        <v>Введение в российское право</v>
      </c>
      <c r="K48" s="0" t="str">
        <f aca="false">IFERROR(__xludf.dummyfunction("""COMPUTED_VALUE"""),"Да")</f>
        <v>Да</v>
      </c>
      <c r="L48" s="0" t="str">
        <f aca="false">IFERROR(__xludf.dummyfunction("""COMPUTED_VALUE"""),"будет")</f>
        <v>будет</v>
      </c>
      <c r="M48" s="1" t="n">
        <v>1</v>
      </c>
      <c r="N48" s="1" t="n">
        <v>1</v>
      </c>
    </row>
    <row r="49" customFormat="false" ht="15.75" hidden="false" customHeight="false" outlineLevel="0" collapsed="false">
      <c r="A49" s="11" t="n">
        <f aca="false">IFERROR(__xludf.dummyfunction("""COMPUTED_VALUE"""),43220.4297098148)</f>
        <v>43220.42971</v>
      </c>
      <c r="B49" s="0" t="str">
        <f aca="false">IFERROR(__xludf.dummyfunction("""COMPUTED_VALUE"""),"Свиридова ")</f>
        <v>Свиридова</v>
      </c>
      <c r="C49" s="0" t="str">
        <f aca="false">IFERROR(__xludf.dummyfunction("""COMPUTED_VALUE"""),"Мария")</f>
        <v>Мария</v>
      </c>
      <c r="D49" s="0" t="n">
        <f aca="false">IFERROR(__xludf.dummyfunction("""COMPUTED_VALUE"""),8)</f>
        <v>8</v>
      </c>
      <c r="E49" s="0" t="n">
        <f aca="false">IFERROR(__xludf.dummyfunction("""COMPUTED_VALUE"""),19)</f>
        <v>19</v>
      </c>
      <c r="G49" s="0" t="str">
        <f aca="false">IFERROR(__xludf.dummyfunction("""COMPUTED_VALUE"""),"Нет")</f>
        <v>Нет</v>
      </c>
      <c r="H49" s="0" t="str">
        <f aca="false">IFERROR(__xludf.dummyfunction("""COMPUTED_VALUE"""),"sviridova76@gmail.com")</f>
        <v>sviridova76@gmail.com</v>
      </c>
      <c r="I49" s="0" t="str">
        <f aca="false">IFERROR(__xludf.dummyfunction("""COMPUTED_VALUE"""),"Биология")</f>
        <v>Биология</v>
      </c>
      <c r="J49" s="0" t="str">
        <f aca="false">IFERROR(__xludf.dummyfunction("""COMPUTED_VALUE"""),"Биология")</f>
        <v>Биология</v>
      </c>
      <c r="K49" s="0" t="str">
        <f aca="false">IFERROR(__xludf.dummyfunction("""COMPUTED_VALUE"""),"Нет")</f>
        <v>Нет</v>
      </c>
      <c r="L49" s="0" t="str">
        <f aca="false">IFERROR(__xludf.dummyfunction("""COMPUTED_VALUE"""),"неизвестно")</f>
        <v>неизвестно</v>
      </c>
      <c r="M49" s="1" t="n">
        <v>1</v>
      </c>
      <c r="N49" s="1" t="n">
        <v>1</v>
      </c>
    </row>
    <row r="50" customFormat="false" ht="15.75" hidden="false" customHeight="false" outlineLevel="0" collapsed="false">
      <c r="A50" s="11" t="n">
        <f aca="false">IFERROR(__xludf.dummyfunction("""COMPUTED_VALUE"""),43220.5693318056)</f>
        <v>43220.56933</v>
      </c>
      <c r="B50" s="0" t="str">
        <f aca="false">IFERROR(__xludf.dummyfunction("""COMPUTED_VALUE"""),"Кравец ")</f>
        <v>Кравец</v>
      </c>
      <c r="C50" s="0" t="str">
        <f aca="false">IFERROR(__xludf.dummyfunction("""COMPUTED_VALUE"""),"Анна ")</f>
        <v>Анна</v>
      </c>
      <c r="D50" s="0" t="n">
        <f aca="false">IFERROR(__xludf.dummyfunction("""COMPUTED_VALUE"""),10)</f>
        <v>10</v>
      </c>
      <c r="E50" s="0" t="str">
        <f aca="false">IFERROR(__xludf.dummyfunction("""COMPUTED_VALUE"""),"Академический лицей при ОМГпУ ")</f>
        <v>Академический лицей при ОМГпУ</v>
      </c>
      <c r="F50" s="0" t="str">
        <f aca="false">IFERROR(__xludf.dummyfunction("""COMPUTED_VALUE"""),"Могу быть весь учебный день в школе ")</f>
        <v>Могу быть весь учебный день в школе</v>
      </c>
      <c r="G50" s="12" t="str">
        <f aca="false">IFERROR(__xludf.dummyfunction("""COMPUTED_VALUE"""),"vk.com/id194845468")</f>
        <v>vk.com/id194845468</v>
      </c>
      <c r="H50" s="0" t="str">
        <f aca="false">IFERROR(__xludf.dummyfunction("""COMPUTED_VALUE"""),"kravec_anna@list.ru")</f>
        <v>kravec_anna@list.ru</v>
      </c>
      <c r="I50" s="0" t="str">
        <f aca="false">IFERROR(__xludf.dummyfunction("""COMPUTED_VALUE"""),"Социология")</f>
        <v>Социология</v>
      </c>
      <c r="J50" s="0" t="str">
        <f aca="false">IFERROR(__xludf.dummyfunction("""COMPUTED_VALUE"""),"Введение в роль элитных противостояний в истории")</f>
        <v>Введение в роль элитных противостояний в истории</v>
      </c>
      <c r="K50" s="0" t="str">
        <f aca="false">IFERROR(__xludf.dummyfunction("""COMPUTED_VALUE"""),"Нет")</f>
        <v>Нет</v>
      </c>
      <c r="L50" s="0" t="str">
        <f aca="false">IFERROR(__xludf.dummyfunction("""COMPUTED_VALUE"""),"будет")</f>
        <v>будет</v>
      </c>
      <c r="M50" s="1" t="n">
        <v>1</v>
      </c>
      <c r="N50" s="1" t="n">
        <v>1</v>
      </c>
    </row>
    <row r="51" customFormat="false" ht="15.75" hidden="false" customHeight="false" outlineLevel="0" collapsed="false">
      <c r="A51" s="11" t="n">
        <f aca="false">IFERROR(__xludf.dummyfunction("""COMPUTED_VALUE"""),43220.5751695602)</f>
        <v>43220.57517</v>
      </c>
      <c r="B51" s="0" t="str">
        <f aca="false">IFERROR(__xludf.dummyfunction("""COMPUTED_VALUE"""),"Ефимкина ")</f>
        <v>Ефимкина</v>
      </c>
      <c r="C51" s="0" t="str">
        <f aca="false">IFERROR(__xludf.dummyfunction("""COMPUTED_VALUE"""),"Анастасия ")</f>
        <v>Анастасия</v>
      </c>
      <c r="D51" s="0" t="n">
        <f aca="false">IFERROR(__xludf.dummyfunction("""COMPUTED_VALUE"""),10)</f>
        <v>10</v>
      </c>
      <c r="E51" s="0" t="str">
        <f aca="false">IFERROR(__xludf.dummyfunction("""COMPUTED_VALUE"""),"Академический лицей при ОМГПУ ")</f>
        <v>Академический лицей при ОМГПУ</v>
      </c>
      <c r="F51" s="0" t="str">
        <f aca="false">IFERROR(__xludf.dummyfunction("""COMPUTED_VALUE"""),"Могу весь учебный день")</f>
        <v>Могу весь учебный день</v>
      </c>
      <c r="G51" s="12" t="str">
        <f aca="false">IFERROR(__xludf.dummyfunction("""COMPUTED_VALUE"""),"vk.com/missis.nasta20")</f>
        <v>vk.com/missis.nasta20</v>
      </c>
      <c r="H51" s="0" t="str">
        <f aca="false">IFERROR(__xludf.dummyfunction("""COMPUTED_VALUE"""),"missis.nasta20@yandex.ru")</f>
        <v>missis.nasta20@yandex.ru</v>
      </c>
      <c r="I51" s="0" t="str">
        <f aca="false">IFERROR(__xludf.dummyfunction("""COMPUTED_VALUE"""),"Социология")</f>
        <v>Социология</v>
      </c>
      <c r="J51" s="0" t="str">
        <f aca="false">IFERROR(__xludf.dummyfunction("""COMPUTED_VALUE"""),"Введение в роль элитных противостояний в истории")</f>
        <v>Введение в роль элитных противостояний в истории</v>
      </c>
      <c r="K51" s="0" t="str">
        <f aca="false">IFERROR(__xludf.dummyfunction("""COMPUTED_VALUE"""),"Нет")</f>
        <v>Нет</v>
      </c>
      <c r="L51" s="0" t="str">
        <f aca="false">IFERROR(__xludf.dummyfunction("""COMPUTED_VALUE"""),"будет")</f>
        <v>будет</v>
      </c>
    </row>
    <row r="52" customFormat="false" ht="15.75" hidden="false" customHeight="false" outlineLevel="0" collapsed="false">
      <c r="A52" s="11" t="n">
        <f aca="false">IFERROR(__xludf.dummyfunction("""COMPUTED_VALUE"""),43220.5871779745)</f>
        <v>43220.58718</v>
      </c>
      <c r="B52" s="0" t="str">
        <f aca="false">IFERROR(__xludf.dummyfunction("""COMPUTED_VALUE"""),"Иова")</f>
        <v>Иова</v>
      </c>
      <c r="C52" s="0" t="str">
        <f aca="false">IFERROR(__xludf.dummyfunction("""COMPUTED_VALUE"""),"Илона")</f>
        <v>Илона</v>
      </c>
      <c r="D52" s="0" t="n">
        <f aca="false">IFERROR(__xludf.dummyfunction("""COMPUTED_VALUE"""),7)</f>
        <v>7</v>
      </c>
      <c r="E52" s="0" t="n">
        <f aca="false">IFERROR(__xludf.dummyfunction("""COMPUTED_VALUE"""),92)</f>
        <v>92</v>
      </c>
      <c r="F52" s="0" t="str">
        <f aca="false">IFERROR(__xludf.dummyfunction("""COMPUTED_VALUE"""),"С самого начала")</f>
        <v>С самого начала</v>
      </c>
      <c r="G52" s="0" t="str">
        <f aca="false">IFERROR(__xludf.dummyfunction("""COMPUTED_VALUE"""),"Нет")</f>
        <v>Нет</v>
      </c>
      <c r="H52" s="0" t="str">
        <f aca="false">IFERROR(__xludf.dummyfunction("""COMPUTED_VALUE"""),"olga.iova@mail.ru")</f>
        <v>olga.iova@mail.ru</v>
      </c>
      <c r="I52" s="0" t="str">
        <f aca="false">IFERROR(__xludf.dummyfunction("""COMPUTED_VALUE"""),"Теория игр")</f>
        <v>Теория игр</v>
      </c>
      <c r="J52" s="0" t="str">
        <f aca="false">IFERROR(__xludf.dummyfunction("""COMPUTED_VALUE"""),"Экономическое мышление и никакой математики!")</f>
        <v>Экономическое мышление и никакой математики!</v>
      </c>
      <c r="K52" s="0" t="str">
        <f aca="false">IFERROR(__xludf.dummyfunction("""COMPUTED_VALUE"""),"Нет")</f>
        <v>Нет</v>
      </c>
      <c r="L52" s="0" t="str">
        <f aca="false">IFERROR(__xludf.dummyfunction("""COMPUTED_VALUE"""),"будет")</f>
        <v>будет</v>
      </c>
      <c r="M52" s="1" t="n">
        <v>1</v>
      </c>
      <c r="N52" s="1" t="n">
        <v>1</v>
      </c>
    </row>
    <row r="53" customFormat="false" ht="15.75" hidden="false" customHeight="false" outlineLevel="0" collapsed="false">
      <c r="A53" s="11" t="n">
        <f aca="false">IFERROR(__xludf.dummyfunction("""COMPUTED_VALUE"""),43220.5873344907)</f>
        <v>43220.58733</v>
      </c>
      <c r="B53" s="0" t="str">
        <f aca="false">IFERROR(__xludf.dummyfunction("""COMPUTED_VALUE"""),"Прохоров")</f>
        <v>Прохоров</v>
      </c>
      <c r="C53" s="0" t="str">
        <f aca="false">IFERROR(__xludf.dummyfunction("""COMPUTED_VALUE"""),"Сергей")</f>
        <v>Сергей</v>
      </c>
      <c r="D53" s="0" t="n">
        <f aca="false">IFERROR(__xludf.dummyfunction("""COMPUTED_VALUE"""),8)</f>
        <v>8</v>
      </c>
      <c r="E53" s="0" t="n">
        <f aca="false">IFERROR(__xludf.dummyfunction("""COMPUTED_VALUE"""),139)</f>
        <v>139</v>
      </c>
      <c r="G53" s="12" t="str">
        <f aca="false">IFERROR(__xludf.dummyfunction("""COMPUTED_VALUE"""),"vk.com/sergey.prokhorov2000")</f>
        <v>vk.com/sergey.prokhorov2000</v>
      </c>
      <c r="H53" s="0" t="str">
        <f aca="false">IFERROR(__xludf.dummyfunction("""COMPUTED_VALUE"""),"sergeypro@inbox.ru")</f>
        <v>sergeypro@inbox.ru</v>
      </c>
      <c r="I53" s="0" t="str">
        <f aca="false">IFERROR(__xludf.dummyfunction("""COMPUTED_VALUE"""),"Олимпиадная математика")</f>
        <v>Олимпиадная математика</v>
      </c>
      <c r="J53" s="0" t="str">
        <f aca="false">IFERROR(__xludf.dummyfunction("""COMPUTED_VALUE"""),"Олимпиадное программирование")</f>
        <v>Олимпиадное программирование</v>
      </c>
      <c r="K53" s="0" t="str">
        <f aca="false">IFERROR(__xludf.dummyfunction("""COMPUTED_VALUE"""),"Да")</f>
        <v>Да</v>
      </c>
      <c r="L53" s="0" t="str">
        <f aca="false">IFERROR(__xludf.dummyfunction("""COMPUTED_VALUE"""),"будет")</f>
        <v>будет</v>
      </c>
    </row>
    <row r="54" customFormat="false" ht="15.75" hidden="false" customHeight="false" outlineLevel="0" collapsed="false">
      <c r="A54" s="11" t="n">
        <f aca="false">IFERROR(__xludf.dummyfunction("""COMPUTED_VALUE"""),43220.5929749537)</f>
        <v>43220.59297</v>
      </c>
      <c r="B54" s="0" t="str">
        <f aca="false">IFERROR(__xludf.dummyfunction("""COMPUTED_VALUE"""),"Франк")</f>
        <v>Франк</v>
      </c>
      <c r="C54" s="0" t="str">
        <f aca="false">IFERROR(__xludf.dummyfunction("""COMPUTED_VALUE"""),"Яна")</f>
        <v>Яна</v>
      </c>
      <c r="D54" s="0" t="n">
        <f aca="false">IFERROR(__xludf.dummyfunction("""COMPUTED_VALUE"""),10)</f>
        <v>10</v>
      </c>
      <c r="E54" s="0" t="n">
        <f aca="false">IFERROR(__xludf.dummyfunction("""COMPUTED_VALUE"""),117)</f>
        <v>117</v>
      </c>
      <c r="G54" s="12" t="str">
        <f aca="false">IFERROR(__xludf.dummyfunction("""COMPUTED_VALUE"""),"vk.com/yanafrank")</f>
        <v>vk.com/yanafrank</v>
      </c>
      <c r="H54" s="0" t="str">
        <f aca="false">IFERROR(__xludf.dummyfunction("""COMPUTED_VALUE"""),"yana.f.2000@mail.ru")</f>
        <v>yana.f.2000@mail.ru</v>
      </c>
      <c r="I54" s="0" t="str">
        <f aca="false">IFERROR(__xludf.dummyfunction("""COMPUTED_VALUE"""),"Олимпиадная химия")</f>
        <v>Олимпиадная химия</v>
      </c>
      <c r="J54" s="0" t="str">
        <f aca="false">IFERROR(__xludf.dummyfunction("""COMPUTED_VALUE"""),"Олимпиадная химия")</f>
        <v>Олимпиадная химия</v>
      </c>
      <c r="K54" s="0" t="str">
        <f aca="false">IFERROR(__xludf.dummyfunction("""COMPUTED_VALUE"""),"Нет")</f>
        <v>Нет</v>
      </c>
      <c r="L54" s="0" t="str">
        <f aca="false">IFERROR(__xludf.dummyfunction("""COMPUTED_VALUE"""),"будет")</f>
        <v>будет</v>
      </c>
    </row>
    <row r="55" customFormat="false" ht="15.75" hidden="false" customHeight="false" outlineLevel="0" collapsed="false">
      <c r="A55" s="11" t="n">
        <f aca="false">IFERROR(__xludf.dummyfunction("""COMPUTED_VALUE"""),43220.6212729745)</f>
        <v>43220.62127</v>
      </c>
      <c r="B55" s="0" t="str">
        <f aca="false">IFERROR(__xludf.dummyfunction("""COMPUTED_VALUE"""),"Синельникова")</f>
        <v>Синельникова</v>
      </c>
      <c r="C55" s="0" t="str">
        <f aca="false">IFERROR(__xludf.dummyfunction("""COMPUTED_VALUE"""),"Поля")</f>
        <v>Поля</v>
      </c>
      <c r="D55" s="0" t="n">
        <f aca="false">IFERROR(__xludf.dummyfunction("""COMPUTED_VALUE"""),10)</f>
        <v>10</v>
      </c>
      <c r="E55" s="0" t="n">
        <f aca="false">IFERROR(__xludf.dummyfunction("""COMPUTED_VALUE"""),19)</f>
        <v>19</v>
      </c>
      <c r="G55" s="12" t="str">
        <f aca="false">IFERROR(__xludf.dummyfunction("""COMPUTED_VALUE"""),"vk.com/aliceintowonderland")</f>
        <v>vk.com/aliceintowonderland</v>
      </c>
      <c r="H55" s="0" t="str">
        <f aca="false">IFERROR(__xludf.dummyfunction("""COMPUTED_VALUE"""),"rybkafu@mail.ru")</f>
        <v>rybkafu@mail.ru</v>
      </c>
      <c r="I55" s="0" t="str">
        <f aca="false">IFERROR(__xludf.dummyfunction("""COMPUTED_VALUE"""),"Введение в анализ данных")</f>
        <v>Введение в анализ данных</v>
      </c>
      <c r="J55" s="0" t="str">
        <f aca="false">IFERROR(__xludf.dummyfunction("""COMPUTED_VALUE"""),"Олимпиадное программирование")</f>
        <v>Олимпиадное программирование</v>
      </c>
      <c r="K55" s="0" t="str">
        <f aca="false">IFERROR(__xludf.dummyfunction("""COMPUTED_VALUE"""),"Нет")</f>
        <v>Нет</v>
      </c>
      <c r="L55" s="0" t="str">
        <f aca="false">IFERROR(__xludf.dummyfunction("""COMPUTED_VALUE"""),"будет")</f>
        <v>будет</v>
      </c>
    </row>
    <row r="56" customFormat="false" ht="15.75" hidden="false" customHeight="false" outlineLevel="0" collapsed="false">
      <c r="A56" s="11" t="n">
        <f aca="false">IFERROR(__xludf.dummyfunction("""COMPUTED_VALUE"""),43220.6740641667)</f>
        <v>43220.67406</v>
      </c>
      <c r="B56" s="0" t="str">
        <f aca="false">IFERROR(__xludf.dummyfunction("""COMPUTED_VALUE"""),"Мальцев")</f>
        <v>Мальцев</v>
      </c>
      <c r="C56" s="0" t="str">
        <f aca="false">IFERROR(__xludf.dummyfunction("""COMPUTED_VALUE"""),"Илья")</f>
        <v>Илья</v>
      </c>
      <c r="D56" s="0" t="n">
        <f aca="false">IFERROR(__xludf.dummyfunction("""COMPUTED_VALUE"""),10)</f>
        <v>10</v>
      </c>
      <c r="E56" s="0" t="n">
        <f aca="false">IFERROR(__xludf.dummyfunction("""COMPUTED_VALUE"""),140)</f>
        <v>140</v>
      </c>
      <c r="G56" s="12" t="str">
        <f aca="false">IFERROR(__xludf.dummyfunction("""COMPUTED_VALUE"""),"vk.com/id210046407")</f>
        <v>vk.com/id210046407</v>
      </c>
      <c r="H56" s="0" t="str">
        <f aca="false">IFERROR(__xludf.dummyfunction("""COMPUTED_VALUE"""),"ilyafish85@mail.ru")</f>
        <v>ilyafish85@mail.ru</v>
      </c>
      <c r="I56" s="0" t="str">
        <f aca="false">IFERROR(__xludf.dummyfunction("""COMPUTED_VALUE"""),"Биология")</f>
        <v>Биология</v>
      </c>
      <c r="J56" s="0" t="str">
        <f aca="false">IFERROR(__xludf.dummyfunction("""COMPUTED_VALUE"""),"Теория вероятностей")</f>
        <v>Теория вероятностей</v>
      </c>
      <c r="K56" s="0" t="str">
        <f aca="false">IFERROR(__xludf.dummyfunction("""COMPUTED_VALUE"""),"Нет")</f>
        <v>Нет</v>
      </c>
      <c r="L56" s="0" t="str">
        <f aca="false">IFERROR(__xludf.dummyfunction("""COMPUTED_VALUE"""),"будет")</f>
        <v>будет</v>
      </c>
    </row>
    <row r="57" customFormat="false" ht="15.75" hidden="false" customHeight="false" outlineLevel="0" collapsed="false">
      <c r="A57" s="11" t="n">
        <f aca="false">IFERROR(__xludf.dummyfunction("""COMPUTED_VALUE"""),43220.7314378357)</f>
        <v>43220.73144</v>
      </c>
      <c r="B57" s="0" t="str">
        <f aca="false">IFERROR(__xludf.dummyfunction("""COMPUTED_VALUE"""),"Задорожная")</f>
        <v>Задорожная</v>
      </c>
      <c r="C57" s="0" t="str">
        <f aca="false">IFERROR(__xludf.dummyfunction("""COMPUTED_VALUE"""),"Виолетта")</f>
        <v>Виолетта</v>
      </c>
      <c r="D57" s="0" t="n">
        <f aca="false">IFERROR(__xludf.dummyfunction("""COMPUTED_VALUE"""),10)</f>
        <v>10</v>
      </c>
      <c r="E57" s="0" t="n">
        <f aca="false">IFERROR(__xludf.dummyfunction("""COMPUTED_VALUE"""),117)</f>
        <v>117</v>
      </c>
      <c r="G57" s="12" t="str">
        <f aca="false">IFERROR(__xludf.dummyfunction("""COMPUTED_VALUE"""),"vk.com/id198934365")</f>
        <v>vk.com/id198934365</v>
      </c>
      <c r="H57" s="0" t="str">
        <f aca="false">IFERROR(__xludf.dummyfunction("""COMPUTED_VALUE"""),"vitulya.zadorozhnaya@mail.ru")</f>
        <v>vitulya.zadorozhnaya@mail.ru</v>
      </c>
      <c r="I57" s="0" t="str">
        <f aca="false">IFERROR(__xludf.dummyfunction("""COMPUTED_VALUE"""),"Международное право")</f>
        <v>Международное право</v>
      </c>
      <c r="J57" s="0" t="str">
        <f aca="false">IFERROR(__xludf.dummyfunction("""COMPUTED_VALUE"""),"Экономическое мышление и никакой математики!")</f>
        <v>Экономическое мышление и никакой математики!</v>
      </c>
      <c r="K57" s="0" t="str">
        <f aca="false">IFERROR(__xludf.dummyfunction("""COMPUTED_VALUE"""),"Да")</f>
        <v>Да</v>
      </c>
      <c r="L57" s="0" t="str">
        <f aca="false">IFERROR(__xludf.dummyfunction("""COMPUTED_VALUE"""),"будет")</f>
        <v>будет</v>
      </c>
    </row>
    <row r="58" customFormat="false" ht="15.75" hidden="false" customHeight="false" outlineLevel="0" collapsed="false">
      <c r="A58" s="11" t="n">
        <f aca="false">IFERROR(__xludf.dummyfunction("""COMPUTED_VALUE"""),43220.7560487153)</f>
        <v>43220.75605</v>
      </c>
      <c r="B58" s="0" t="str">
        <f aca="false">IFERROR(__xludf.dummyfunction("""COMPUTED_VALUE"""),"Анохина")</f>
        <v>Анохина</v>
      </c>
      <c r="C58" s="0" t="str">
        <f aca="false">IFERROR(__xludf.dummyfunction("""COMPUTED_VALUE"""),"Полина")</f>
        <v>Полина</v>
      </c>
      <c r="D58" s="0" t="n">
        <f aca="false">IFERROR(__xludf.dummyfunction("""COMPUTED_VALUE"""),7)</f>
        <v>7</v>
      </c>
      <c r="E58" s="0" t="n">
        <f aca="false">IFERROR(__xludf.dummyfunction("""COMPUTED_VALUE"""),117)</f>
        <v>117</v>
      </c>
      <c r="G58" s="12" t="str">
        <f aca="false">IFERROR(__xludf.dummyfunction("""COMPUTED_VALUE"""),"vk.com/polinko_malinko")</f>
        <v>vk.com/polinko_malinko</v>
      </c>
      <c r="H58" s="0" t="str">
        <f aca="false">IFERROR(__xludf.dummyfunction("""COMPUTED_VALUE"""),"Anokhinaa04@mail.ru")</f>
        <v>Anokhinaa04@mail.ru</v>
      </c>
      <c r="I58" s="0" t="str">
        <f aca="false">IFERROR(__xludf.dummyfunction("""COMPUTED_VALUE"""),"Введение в роль элитных противостояний в истории")</f>
        <v>Введение в роль элитных противостояний в истории</v>
      </c>
      <c r="J58" s="0" t="str">
        <f aca="false">IFERROR(__xludf.dummyfunction("""COMPUTED_VALUE"""),"Введение в российское право")</f>
        <v>Введение в российское право</v>
      </c>
      <c r="K58" s="0" t="str">
        <f aca="false">IFERROR(__xludf.dummyfunction("""COMPUTED_VALUE"""),"Нет")</f>
        <v>Нет</v>
      </c>
      <c r="L58" s="0" t="str">
        <f aca="false">IFERROR(__xludf.dummyfunction("""COMPUTED_VALUE"""),"будет")</f>
        <v>будет</v>
      </c>
    </row>
    <row r="59" customFormat="false" ht="15.75" hidden="false" customHeight="false" outlineLevel="0" collapsed="false">
      <c r="A59" s="11" t="n">
        <f aca="false">IFERROR(__xludf.dummyfunction("""COMPUTED_VALUE"""),43220.7591743519)</f>
        <v>43220.75917</v>
      </c>
      <c r="B59" s="0" t="str">
        <f aca="false">IFERROR(__xludf.dummyfunction("""COMPUTED_VALUE"""),"Руль ")</f>
        <v>Руль</v>
      </c>
      <c r="C59" s="0" t="str">
        <f aca="false">IFERROR(__xludf.dummyfunction("""COMPUTED_VALUE"""),"Виктория ")</f>
        <v>Виктория</v>
      </c>
      <c r="D59" s="0" t="n">
        <f aca="false">IFERROR(__xludf.dummyfunction("""COMPUTED_VALUE"""),10)</f>
        <v>10</v>
      </c>
      <c r="E59" s="0" t="n">
        <f aca="false">IFERROR(__xludf.dummyfunction("""COMPUTED_VALUE"""),149)</f>
        <v>149</v>
      </c>
      <c r="G59" s="12" t="str">
        <f aca="false">IFERROR(__xludf.dummyfunction("""COMPUTED_VALUE"""),"vk.com/id183604164")</f>
        <v>vk.com/id183604164</v>
      </c>
      <c r="H59" s="0" t="str">
        <f aca="false">IFERROR(__xludf.dummyfunction("""COMPUTED_VALUE"""),"victoriya.1802@gmail.com")</f>
        <v>victoriya.1802@gmail.com</v>
      </c>
      <c r="I59" s="0" t="str">
        <f aca="false">IFERROR(__xludf.dummyfunction("""COMPUTED_VALUE"""),"Социология")</f>
        <v>Социология</v>
      </c>
      <c r="J59" s="0" t="str">
        <f aca="false">IFERROR(__xludf.dummyfunction("""COMPUTED_VALUE"""),"Экономическое мышление и никакой математики!")</f>
        <v>Экономическое мышление и никакой математики!</v>
      </c>
      <c r="K59" s="0" t="str">
        <f aca="false">IFERROR(__xludf.dummyfunction("""COMPUTED_VALUE"""),"Нет")</f>
        <v>Нет</v>
      </c>
      <c r="L59" s="0" t="str">
        <f aca="false">IFERROR(__xludf.dummyfunction("""COMPUTED_VALUE"""),"будет")</f>
        <v>будет</v>
      </c>
      <c r="M59" s="1" t="n">
        <v>1</v>
      </c>
      <c r="N59" s="1" t="n">
        <v>1</v>
      </c>
    </row>
    <row r="60" customFormat="false" ht="15.75" hidden="false" customHeight="false" outlineLevel="0" collapsed="false">
      <c r="A60" s="11" t="n">
        <f aca="false">IFERROR(__xludf.dummyfunction("""COMPUTED_VALUE"""),43220.7594297107)</f>
        <v>43220.75943</v>
      </c>
      <c r="B60" s="0" t="str">
        <f aca="false">IFERROR(__xludf.dummyfunction("""COMPUTED_VALUE"""),"Назаров")</f>
        <v>Назаров</v>
      </c>
      <c r="C60" s="0" t="str">
        <f aca="false">IFERROR(__xludf.dummyfunction("""COMPUTED_VALUE"""),"Нариман")</f>
        <v>Нариман</v>
      </c>
      <c r="D60" s="0" t="n">
        <f aca="false">IFERROR(__xludf.dummyfunction("""COMPUTED_VALUE"""),10)</f>
        <v>10</v>
      </c>
      <c r="E60" s="0" t="n">
        <f aca="false">IFERROR(__xludf.dummyfunction("""COMPUTED_VALUE"""),62)</f>
        <v>62</v>
      </c>
      <c r="G60" s="12" t="str">
        <f aca="false">IFERROR(__xludf.dummyfunction("""COMPUTED_VALUE"""),"vk.com/id183448945")</f>
        <v>vk.com/id183448945</v>
      </c>
      <c r="H60" s="0" t="str">
        <f aca="false">IFERROR(__xludf.dummyfunction("""COMPUTED_VALUE"""),"nariman_nazarov@mail.ru")</f>
        <v>nariman_nazarov@mail.ru</v>
      </c>
      <c r="I60" s="0" t="str">
        <f aca="false">IFERROR(__xludf.dummyfunction("""COMPUTED_VALUE"""),"Введение в анализ данных")</f>
        <v>Введение в анализ данных</v>
      </c>
      <c r="J60" s="0" t="str">
        <f aca="false">IFERROR(__xludf.dummyfunction("""COMPUTED_VALUE"""),"Олимпиадное программирование")</f>
        <v>Олимпиадное программирование</v>
      </c>
      <c r="K60" s="0" t="str">
        <f aca="false">IFERROR(__xludf.dummyfunction("""COMPUTED_VALUE"""),"Нет")</f>
        <v>Нет</v>
      </c>
      <c r="L60" s="0" t="str">
        <f aca="false">IFERROR(__xludf.dummyfunction("""COMPUTED_VALUE"""),"будет")</f>
        <v>будет</v>
      </c>
    </row>
    <row r="61" customFormat="false" ht="15.75" hidden="false" customHeight="false" outlineLevel="0" collapsed="false">
      <c r="A61" s="11" t="n">
        <f aca="false">IFERROR(__xludf.dummyfunction("""COMPUTED_VALUE"""),43220.7599951389)</f>
        <v>43220.76</v>
      </c>
      <c r="B61" s="0" t="str">
        <f aca="false">IFERROR(__xludf.dummyfunction("""COMPUTED_VALUE"""),"Артамонова")</f>
        <v>Артамонова</v>
      </c>
      <c r="C61" s="0" t="str">
        <f aca="false">IFERROR(__xludf.dummyfunction("""COMPUTED_VALUE"""),"Анна")</f>
        <v>Анна</v>
      </c>
      <c r="D61" s="0" t="n">
        <f aca="false">IFERROR(__xludf.dummyfunction("""COMPUTED_VALUE"""),10)</f>
        <v>10</v>
      </c>
      <c r="E61" s="0" t="n">
        <f aca="false">IFERROR(__xludf.dummyfunction("""COMPUTED_VALUE"""),64)</f>
        <v>64</v>
      </c>
      <c r="G61" s="12" t="str">
        <f aca="false">IFERROR(__xludf.dummyfunction("""COMPUTED_VALUE"""),"vk.com/id157850061")</f>
        <v>vk.com/id157850061</v>
      </c>
      <c r="H61" s="0" t="str">
        <f aca="false">IFERROR(__xludf.dummyfunction("""COMPUTED_VALUE"""),"anna.artamonova57@gmail.com")</f>
        <v>anna.artamonova57@gmail.com</v>
      </c>
      <c r="I61" s="0" t="str">
        <f aca="false">IFERROR(__xludf.dummyfunction("""COMPUTED_VALUE"""),"Матричная оптика")</f>
        <v>Матричная оптика</v>
      </c>
      <c r="J61" s="0" t="str">
        <f aca="false">IFERROR(__xludf.dummyfunction("""COMPUTED_VALUE"""),"Введение в роль элитных противостояний в истории")</f>
        <v>Введение в роль элитных противостояний в истории</v>
      </c>
      <c r="K61" s="0" t="str">
        <f aca="false">IFERROR(__xludf.dummyfunction("""COMPUTED_VALUE"""),"Да")</f>
        <v>Да</v>
      </c>
      <c r="L61" s="0" t="str">
        <f aca="false">IFERROR(__xludf.dummyfunction("""COMPUTED_VALUE"""),"будет")</f>
        <v>будет</v>
      </c>
    </row>
    <row r="62" customFormat="false" ht="15.75" hidden="false" customHeight="false" outlineLevel="0" collapsed="false">
      <c r="A62" s="11" t="n">
        <f aca="false">IFERROR(__xludf.dummyfunction("""COMPUTED_VALUE"""),43220.7618344676)</f>
        <v>43220.76183</v>
      </c>
      <c r="B62" s="0" t="str">
        <f aca="false">IFERROR(__xludf.dummyfunction("""COMPUTED_VALUE"""),"Локтионова")</f>
        <v>Локтионова</v>
      </c>
      <c r="C62" s="0" t="str">
        <f aca="false">IFERROR(__xludf.dummyfunction("""COMPUTED_VALUE"""),"Даниэла")</f>
        <v>Даниэла</v>
      </c>
      <c r="D62" s="0" t="n">
        <f aca="false">IFERROR(__xludf.dummyfunction("""COMPUTED_VALUE"""),9)</f>
        <v>9</v>
      </c>
      <c r="E62" s="0" t="n">
        <f aca="false">IFERROR(__xludf.dummyfunction("""COMPUTED_VALUE"""),64)</f>
        <v>64</v>
      </c>
      <c r="G62" s="12" t="str">
        <f aca="false">IFERROR(__xludf.dummyfunction("""COMPUTED_VALUE"""),"vk.com/id183491405")</f>
        <v>vk.com/id183491405</v>
      </c>
      <c r="H62" s="0" t="str">
        <f aca="false">IFERROR(__xludf.dummyfunction("""COMPUTED_VALUE"""),"daniellasky@gmail.com")</f>
        <v>daniellasky@gmail.com</v>
      </c>
      <c r="I62" s="0" t="str">
        <f aca="false">IFERROR(__xludf.dummyfunction("""COMPUTED_VALUE"""),"Социология")</f>
        <v>Социология</v>
      </c>
      <c r="J62" s="0" t="str">
        <f aca="false">IFERROR(__xludf.dummyfunction("""COMPUTED_VALUE"""),"Олимпиадная математика")</f>
        <v>Олимпиадная математика</v>
      </c>
      <c r="K62" s="0" t="str">
        <f aca="false">IFERROR(__xludf.dummyfunction("""COMPUTED_VALUE"""),"Нет")</f>
        <v>Нет</v>
      </c>
      <c r="L62" s="0" t="str">
        <f aca="false">IFERROR(__xludf.dummyfunction("""COMPUTED_VALUE"""),"будет")</f>
        <v>будет</v>
      </c>
      <c r="M62" s="1" t="n">
        <v>1</v>
      </c>
      <c r="N62" s="1" t="n">
        <v>1</v>
      </c>
    </row>
    <row r="63" customFormat="false" ht="15.75" hidden="false" customHeight="false" outlineLevel="0" collapsed="false">
      <c r="A63" s="11" t="n">
        <f aca="false">IFERROR(__xludf.dummyfunction("""COMPUTED_VALUE"""),43220.7867796528)</f>
        <v>43220.78678</v>
      </c>
      <c r="B63" s="0" t="str">
        <f aca="false">IFERROR(__xludf.dummyfunction("""COMPUTED_VALUE"""),"Шишова")</f>
        <v>Шишова</v>
      </c>
      <c r="C63" s="0" t="str">
        <f aca="false">IFERROR(__xludf.dummyfunction("""COMPUTED_VALUE"""),"София ")</f>
        <v>София</v>
      </c>
      <c r="D63" s="0" t="n">
        <f aca="false">IFERROR(__xludf.dummyfunction("""COMPUTED_VALUE"""),9)</f>
        <v>9</v>
      </c>
      <c r="E63" s="0" t="n">
        <f aca="false">IFERROR(__xludf.dummyfunction("""COMPUTED_VALUE"""),140)</f>
        <v>140</v>
      </c>
      <c r="G63" s="12" t="str">
        <f aca="false">IFERROR(__xludf.dummyfunction("""COMPUTED_VALUE"""),"vk.com/sshishova2000")</f>
        <v>vk.com/sshishova2000</v>
      </c>
      <c r="H63" s="0" t="str">
        <f aca="false">IFERROR(__xludf.dummyfunction("""COMPUTED_VALUE"""),"Fro-31@mail.ru")</f>
        <v>Fro-31@mail.ru</v>
      </c>
      <c r="I63" s="0" t="str">
        <f aca="false">IFERROR(__xludf.dummyfunction("""COMPUTED_VALUE"""),"Социология")</f>
        <v>Социология</v>
      </c>
      <c r="J63" s="0" t="str">
        <f aca="false">IFERROR(__xludf.dummyfunction("""COMPUTED_VALUE"""),"Биология")</f>
        <v>Биология</v>
      </c>
      <c r="K63" s="0" t="str">
        <f aca="false">IFERROR(__xludf.dummyfunction("""COMPUTED_VALUE"""),"Нет")</f>
        <v>Нет</v>
      </c>
      <c r="L63" s="0" t="str">
        <f aca="false">IFERROR(__xludf.dummyfunction("""COMPUTED_VALUE"""),"будет")</f>
        <v>будет</v>
      </c>
      <c r="M63" s="1" t="n">
        <v>1</v>
      </c>
      <c r="N63" s="1" t="n">
        <v>1</v>
      </c>
    </row>
    <row r="64" customFormat="false" ht="15.75" hidden="false" customHeight="false" outlineLevel="0" collapsed="false">
      <c r="A64" s="11" t="n">
        <f aca="false">IFERROR(__xludf.dummyfunction("""COMPUTED_VALUE"""),43220.7987228357)</f>
        <v>43220.79872</v>
      </c>
      <c r="B64" s="0" t="str">
        <f aca="false">IFERROR(__xludf.dummyfunction("""COMPUTED_VALUE"""),"Широкова")</f>
        <v>Широкова</v>
      </c>
      <c r="C64" s="0" t="str">
        <f aca="false">IFERROR(__xludf.dummyfunction("""COMPUTED_VALUE"""),"Ирина")</f>
        <v>Ирина</v>
      </c>
      <c r="D64" s="0" t="n">
        <f aca="false">IFERROR(__xludf.dummyfunction("""COMPUTED_VALUE"""),10)</f>
        <v>10</v>
      </c>
      <c r="E64" s="0" t="n">
        <f aca="false">IFERROR(__xludf.dummyfunction("""COMPUTED_VALUE"""),64)</f>
        <v>64</v>
      </c>
      <c r="F64" s="0" t="str">
        <f aca="false">IFERROR(__xludf.dummyfunction("""COMPUTED_VALUE"""),"скорее всего не смогу ходить до самого конца смены")</f>
        <v>скорее всего не смогу ходить до самого конца смены</v>
      </c>
      <c r="G64" s="12" t="str">
        <f aca="false">IFERROR(__xludf.dummyfunction("""COMPUTED_VALUE"""),"vk.com/id189704537")</f>
        <v>vk.com/id189704537</v>
      </c>
      <c r="H64" s="0" t="str">
        <f aca="false">IFERROR(__xludf.dummyfunction("""COMPUTED_VALUE"""),"ira.shirokova.01@bk.ru")</f>
        <v>ira.shirokova.01@bk.ru</v>
      </c>
      <c r="I64" s="0" t="str">
        <f aca="false">IFERROR(__xludf.dummyfunction("""COMPUTED_VALUE"""),"Теория игр")</f>
        <v>Теория игр</v>
      </c>
      <c r="J64" s="0" t="str">
        <f aca="false">IFERROR(__xludf.dummyfunction("""COMPUTED_VALUE"""),"Теория вероятностей")</f>
        <v>Теория вероятностей</v>
      </c>
      <c r="K64" s="0" t="str">
        <f aca="false">IFERROR(__xludf.dummyfunction("""COMPUTED_VALUE"""),"Да")</f>
        <v>Да</v>
      </c>
      <c r="L64" s="0" t="str">
        <f aca="false">IFERROR(__xludf.dummyfunction("""COMPUTED_VALUE"""),"будет")</f>
        <v>будет</v>
      </c>
      <c r="M64" s="1" t="n">
        <v>1</v>
      </c>
      <c r="N64" s="1" t="n">
        <v>1</v>
      </c>
    </row>
    <row r="65" customFormat="false" ht="15.75" hidden="false" customHeight="false" outlineLevel="0" collapsed="false">
      <c r="A65" s="11" t="n">
        <f aca="false">IFERROR(__xludf.dummyfunction("""COMPUTED_VALUE"""),43220.804375787)</f>
        <v>43220.80438</v>
      </c>
      <c r="B65" s="0" t="str">
        <f aca="false">IFERROR(__xludf.dummyfunction("""COMPUTED_VALUE"""),"Голозов")</f>
        <v>Голозов</v>
      </c>
      <c r="C65" s="0" t="str">
        <f aca="false">IFERROR(__xludf.dummyfunction("""COMPUTED_VALUE"""),"Дмитрий")</f>
        <v>Дмитрий</v>
      </c>
      <c r="D65" s="0" t="n">
        <f aca="false">IFERROR(__xludf.dummyfunction("""COMPUTED_VALUE"""),11)</f>
        <v>11</v>
      </c>
      <c r="E65" s="0" t="n">
        <f aca="false">IFERROR(__xludf.dummyfunction("""COMPUTED_VALUE"""),19)</f>
        <v>19</v>
      </c>
      <c r="G65" s="12" t="str">
        <f aca="false">IFERROR(__xludf.dummyfunction("""COMPUTED_VALUE"""),"vk.com/dimagolozov")</f>
        <v>vk.com/dimagolozov</v>
      </c>
      <c r="H65" s="0" t="str">
        <f aca="false">IFERROR(__xludf.dummyfunction("""COMPUTED_VALUE"""),"dima.golozov@gmai.com")</f>
        <v>dima.golozov@gmai.com</v>
      </c>
      <c r="I65" s="0" t="str">
        <f aca="false">IFERROR(__xludf.dummyfunction("""COMPUTED_VALUE"""),"Введение в анализ данных")</f>
        <v>Введение в анализ данных</v>
      </c>
      <c r="J65" s="0" t="str">
        <f aca="false">IFERROR(__xludf.dummyfunction("""COMPUTED_VALUE"""),"Олимпиадное программирование")</f>
        <v>Олимпиадное программирование</v>
      </c>
      <c r="K65" s="0" t="str">
        <f aca="false">IFERROR(__xludf.dummyfunction("""COMPUTED_VALUE"""),"Нет")</f>
        <v>Нет</v>
      </c>
      <c r="L65" s="0" t="str">
        <f aca="false">IFERROR(__xludf.dummyfunction("""COMPUTED_VALUE"""),"будет")</f>
        <v>будет</v>
      </c>
      <c r="M65" s="1" t="n">
        <v>1</v>
      </c>
      <c r="N65" s="1" t="n">
        <v>1</v>
      </c>
    </row>
    <row r="66" customFormat="false" ht="15.75" hidden="false" customHeight="false" outlineLevel="0" collapsed="false">
      <c r="A66" s="11" t="n">
        <f aca="false">IFERROR(__xludf.dummyfunction("""COMPUTED_VALUE"""),43220.811456088)</f>
        <v>43220.81146</v>
      </c>
      <c r="B66" s="0" t="str">
        <f aca="false">IFERROR(__xludf.dummyfunction("""COMPUTED_VALUE"""),"Мухомедишин")</f>
        <v>Мухомедишин</v>
      </c>
      <c r="C66" s="0" t="str">
        <f aca="false">IFERROR(__xludf.dummyfunction("""COMPUTED_VALUE"""),"Рустам")</f>
        <v>Рустам</v>
      </c>
      <c r="D66" s="0" t="n">
        <f aca="false">IFERROR(__xludf.dummyfunction("""COMPUTED_VALUE"""),10)</f>
        <v>10</v>
      </c>
      <c r="E66" s="0" t="n">
        <f aca="false">IFERROR(__xludf.dummyfunction("""COMPUTED_VALUE"""),62)</f>
        <v>62</v>
      </c>
      <c r="G66" s="12" t="str">
        <f aca="false">IFERROR(__xludf.dummyfunction("""COMPUTED_VALUE"""),"vk.com/rustam_in")</f>
        <v>vk.com/rustam_in</v>
      </c>
      <c r="H66" s="0" t="str">
        <f aca="false">IFERROR(__xludf.dummyfunction("""COMPUTED_VALUE"""),"rustamomsk57@mail.ru")</f>
        <v>rustamomsk57@mail.ru</v>
      </c>
      <c r="I66" s="0" t="str">
        <f aca="false">IFERROR(__xludf.dummyfunction("""COMPUTED_VALUE"""),"Введение в анализ данных")</f>
        <v>Введение в анализ данных</v>
      </c>
      <c r="J66" s="0" t="str">
        <f aca="false">IFERROR(__xludf.dummyfunction("""COMPUTED_VALUE"""),"Олимпиадное программирование")</f>
        <v>Олимпиадное программирование</v>
      </c>
      <c r="K66" s="0" t="str">
        <f aca="false">IFERROR(__xludf.dummyfunction("""COMPUTED_VALUE"""),"Нет")</f>
        <v>Нет</v>
      </c>
      <c r="L66" s="0" t="str">
        <f aca="false">IFERROR(__xludf.dummyfunction("""COMPUTED_VALUE"""),"будет")</f>
        <v>будет</v>
      </c>
      <c r="M66" s="1" t="n">
        <v>1</v>
      </c>
      <c r="N66" s="1" t="n">
        <v>1</v>
      </c>
    </row>
    <row r="67" customFormat="false" ht="15.75" hidden="false" customHeight="false" outlineLevel="0" collapsed="false">
      <c r="A67" s="11" t="n">
        <f aca="false">IFERROR(__xludf.dummyfunction("""COMPUTED_VALUE"""),43220.8261646296)</f>
        <v>43220.82616</v>
      </c>
      <c r="B67" s="0" t="str">
        <f aca="false">IFERROR(__xludf.dummyfunction("""COMPUTED_VALUE"""),"Янковская")</f>
        <v>Янковская</v>
      </c>
      <c r="C67" s="0" t="str">
        <f aca="false">IFERROR(__xludf.dummyfunction("""COMPUTED_VALUE"""),"Алёна")</f>
        <v>Алёна</v>
      </c>
      <c r="D67" s="0" t="n">
        <f aca="false">IFERROR(__xludf.dummyfunction("""COMPUTED_VALUE"""),10)</f>
        <v>10</v>
      </c>
      <c r="E67" s="0" t="n">
        <f aca="false">IFERROR(__xludf.dummyfunction("""COMPUTED_VALUE"""),117)</f>
        <v>117</v>
      </c>
      <c r="F67" s="0" t="str">
        <f aca="false">IFERROR(__xludf.dummyfunction("""COMPUTED_VALUE"""),"Не смогу прийти 6 июля")</f>
        <v>Не смогу прийти 6 июля</v>
      </c>
      <c r="G67" s="12" t="str">
        <f aca="false">IFERROR(__xludf.dummyfunction("""COMPUTED_VALUE"""),"vk.com/17aaaaaaaaaaaaaaaaaaaaaaaaaaaaa")</f>
        <v>vk.com/17aaaaaaaaaaaaaaaaaaaaaaaaaaaaa</v>
      </c>
      <c r="H67" s="0" t="str">
        <f aca="false">IFERROR(__xludf.dummyfunction("""COMPUTED_VALUE"""),"alena.yankovskaya.1@gmail.com")</f>
        <v>alena.yankovskaya.1@gmail.com</v>
      </c>
      <c r="I67" s="0" t="str">
        <f aca="false">IFERROR(__xludf.dummyfunction("""COMPUTED_VALUE"""),"Теория игр")</f>
        <v>Теория игр</v>
      </c>
      <c r="J67" s="0" t="str">
        <f aca="false">IFERROR(__xludf.dummyfunction("""COMPUTED_VALUE"""),"Биология")</f>
        <v>Биология</v>
      </c>
      <c r="K67" s="0" t="str">
        <f aca="false">IFERROR(__xludf.dummyfunction("""COMPUTED_VALUE"""),"Нет")</f>
        <v>Нет</v>
      </c>
      <c r="L67" s="0" t="str">
        <f aca="false">IFERROR(__xludf.dummyfunction("""COMPUTED_VALUE"""),"будет")</f>
        <v>будет</v>
      </c>
    </row>
    <row r="68" customFormat="false" ht="15.75" hidden="false" customHeight="false" outlineLevel="0" collapsed="false">
      <c r="A68" s="11" t="n">
        <f aca="false">IFERROR(__xludf.dummyfunction("""COMPUTED_VALUE"""),43220.8322591319)</f>
        <v>43220.83226</v>
      </c>
      <c r="B68" s="0" t="str">
        <f aca="false">IFERROR(__xludf.dummyfunction("""COMPUTED_VALUE"""),"Едемский")</f>
        <v>Едемский</v>
      </c>
      <c r="C68" s="0" t="str">
        <f aca="false">IFERROR(__xludf.dummyfunction("""COMPUTED_VALUE"""),"Вадим")</f>
        <v>Вадим</v>
      </c>
      <c r="D68" s="0" t="n">
        <f aca="false">IFERROR(__xludf.dummyfunction("""COMPUTED_VALUE"""),11)</f>
        <v>11</v>
      </c>
      <c r="E68" s="0" t="n">
        <f aca="false">IFERROR(__xludf.dummyfunction("""COMPUTED_VALUE"""),17)</f>
        <v>17</v>
      </c>
      <c r="G68" s="12" t="str">
        <f aca="false">IFERROR(__xludf.dummyfunction("""COMPUTED_VALUE"""),"vk.com/sykessad")</f>
        <v>vk.com/sykessad</v>
      </c>
      <c r="H68" s="0" t="str">
        <f aca="false">IFERROR(__xludf.dummyfunction("""COMPUTED_VALUE"""),"vadimedemskii-05@mail.ru")</f>
        <v>vadimedemskii-05@mail.ru</v>
      </c>
      <c r="I68" s="0" t="str">
        <f aca="false">IFERROR(__xludf.dummyfunction("""COMPUTED_VALUE"""),"Олимпиадная химия")</f>
        <v>Олимпиадная химия</v>
      </c>
      <c r="J68" s="0" t="str">
        <f aca="false">IFERROR(__xludf.dummyfunction("""COMPUTED_VALUE"""),"Экономическое мышление и никакой математики!")</f>
        <v>Экономическое мышление и никакой математики!</v>
      </c>
      <c r="K68" s="0" t="str">
        <f aca="false">IFERROR(__xludf.dummyfunction("""COMPUTED_VALUE"""),"Нет")</f>
        <v>Нет</v>
      </c>
      <c r="L68" s="0" t="str">
        <f aca="false">IFERROR(__xludf.dummyfunction("""COMPUTED_VALUE"""),"будет")</f>
        <v>будет</v>
      </c>
    </row>
    <row r="69" customFormat="false" ht="15.75" hidden="false" customHeight="false" outlineLevel="0" collapsed="false">
      <c r="A69" s="11" t="n">
        <f aca="false">IFERROR(__xludf.dummyfunction("""COMPUTED_VALUE"""),43221.2853585764)</f>
        <v>43221.28536</v>
      </c>
      <c r="B69" s="0" t="str">
        <f aca="false">IFERROR(__xludf.dummyfunction("""COMPUTED_VALUE"""),"Курбатова")</f>
        <v>Курбатова</v>
      </c>
      <c r="C69" s="0" t="str">
        <f aca="false">IFERROR(__xludf.dummyfunction("""COMPUTED_VALUE"""),"Анна")</f>
        <v>Анна</v>
      </c>
      <c r="D69" s="0" t="n">
        <f aca="false">IFERROR(__xludf.dummyfunction("""COMPUTED_VALUE"""),9)</f>
        <v>9</v>
      </c>
      <c r="E69" s="0" t="n">
        <f aca="false">IFERROR(__xludf.dummyfunction("""COMPUTED_VALUE"""),109)</f>
        <v>109</v>
      </c>
      <c r="G69" s="12" t="str">
        <f aca="false">IFERROR(__xludf.dummyfunction("""COMPUTED_VALUE"""),"vk.com/anna.kurbatova99")</f>
        <v>vk.com/anna.kurbatova99</v>
      </c>
      <c r="H69" s="0" t="str">
        <f aca="false">IFERROR(__xludf.dummyfunction("""COMPUTED_VALUE"""),"kea-sea@ya.ru")</f>
        <v>kea-sea@ya.ru</v>
      </c>
      <c r="I69" s="0" t="str">
        <f aca="false">IFERROR(__xludf.dummyfunction("""COMPUTED_VALUE"""),"Биология")</f>
        <v>Биология</v>
      </c>
      <c r="J69" s="0" t="str">
        <f aca="false">IFERROR(__xludf.dummyfunction("""COMPUTED_VALUE"""),"Меня не будет в эту половину")</f>
        <v>Меня не будет в эту половину</v>
      </c>
      <c r="K69" s="0" t="str">
        <f aca="false">IFERROR(__xludf.dummyfunction("""COMPUTED_VALUE"""),"Да")</f>
        <v>Да</v>
      </c>
      <c r="L69" s="0" t="str">
        <f aca="false">IFERROR(__xludf.dummyfunction("""COMPUTED_VALUE"""),"неизвестно")</f>
        <v>неизвестно</v>
      </c>
    </row>
    <row r="70" customFormat="false" ht="15.75" hidden="false" customHeight="false" outlineLevel="0" collapsed="false">
      <c r="A70" s="11" t="n">
        <f aca="false">IFERROR(__xludf.dummyfunction("""COMPUTED_VALUE"""),43221.2993582407)</f>
        <v>43221.29936</v>
      </c>
      <c r="B70" s="0" t="str">
        <f aca="false">IFERROR(__xludf.dummyfunction("""COMPUTED_VALUE"""),"Мальцев")</f>
        <v>Мальцев</v>
      </c>
      <c r="C70" s="0" t="str">
        <f aca="false">IFERROR(__xludf.dummyfunction("""COMPUTED_VALUE"""),"Владимир")</f>
        <v>Владимир</v>
      </c>
      <c r="D70" s="0" t="n">
        <f aca="false">IFERROR(__xludf.dummyfunction("""COMPUTED_VALUE"""),8)</f>
        <v>8</v>
      </c>
      <c r="E70" s="0" t="n">
        <f aca="false">IFERROR(__xludf.dummyfunction("""COMPUTED_VALUE"""),149)</f>
        <v>149</v>
      </c>
      <c r="G70" s="12" t="str">
        <f aca="false">IFERROR(__xludf.dummyfunction("""COMPUTED_VALUE"""),"vk.com/id269312243")</f>
        <v>vk.com/id269312243</v>
      </c>
      <c r="H70" s="0" t="str">
        <f aca="false">IFERROR(__xludf.dummyfunction("""COMPUTED_VALUE"""),"masnaja_marina@mail.ru")</f>
        <v>masnaja_marina@mail.ru</v>
      </c>
      <c r="I70" s="0" t="str">
        <f aca="false">IFERROR(__xludf.dummyfunction("""COMPUTED_VALUE"""),"Олимпиадная математика")</f>
        <v>Олимпиадная математика</v>
      </c>
      <c r="J70" s="0" t="str">
        <f aca="false">IFERROR(__xludf.dummyfunction("""COMPUTED_VALUE"""),"Введение в российское право")</f>
        <v>Введение в российское право</v>
      </c>
      <c r="K70" s="0" t="str">
        <f aca="false">IFERROR(__xludf.dummyfunction("""COMPUTED_VALUE"""),"Да")</f>
        <v>Да</v>
      </c>
      <c r="L70" s="0" t="str">
        <f aca="false">IFERROR(__xludf.dummyfunction("""COMPUTED_VALUE"""),"будет")</f>
        <v>будет</v>
      </c>
    </row>
    <row r="71" customFormat="false" ht="15.75" hidden="false" customHeight="false" outlineLevel="0" collapsed="false">
      <c r="A71" s="11" t="n">
        <f aca="false">IFERROR(__xludf.dummyfunction("""COMPUTED_VALUE"""),43221.3264223727)</f>
        <v>43221.32642</v>
      </c>
      <c r="B71" s="0" t="str">
        <f aca="false">IFERROR(__xludf.dummyfunction("""COMPUTED_VALUE"""),"Моисеева")</f>
        <v>Моисеева</v>
      </c>
      <c r="C71" s="0" t="str">
        <f aca="false">IFERROR(__xludf.dummyfunction("""COMPUTED_VALUE"""),"Вероника")</f>
        <v>Вероника</v>
      </c>
      <c r="D71" s="0" t="n">
        <f aca="false">IFERROR(__xludf.dummyfunction("""COMPUTED_VALUE"""),8)</f>
        <v>8</v>
      </c>
      <c r="E71" s="0" t="n">
        <f aca="false">IFERROR(__xludf.dummyfunction("""COMPUTED_VALUE"""),117)</f>
        <v>117</v>
      </c>
      <c r="G71" s="12" t="str">
        <f aca="false">IFERROR(__xludf.dummyfunction("""COMPUTED_VALUE"""),"vk.com/id276675815")</f>
        <v>vk.com/id276675815</v>
      </c>
      <c r="H71" s="0" t="str">
        <f aca="false">IFERROR(__xludf.dummyfunction("""COMPUTED_VALUE"""),"veronikamoi03@gmail.com")</f>
        <v>veronikamoi03@gmail.com</v>
      </c>
      <c r="I71" s="0" t="str">
        <f aca="false">IFERROR(__xludf.dummyfunction("""COMPUTED_VALUE"""),"Международное право")</f>
        <v>Международное право</v>
      </c>
      <c r="J71" s="0" t="str">
        <f aca="false">IFERROR(__xludf.dummyfunction("""COMPUTED_VALUE"""),"Экономическое мышление и никакой математики!")</f>
        <v>Экономическое мышление и никакой математики!</v>
      </c>
      <c r="K71" s="0" t="str">
        <f aca="false">IFERROR(__xludf.dummyfunction("""COMPUTED_VALUE"""),"Да")</f>
        <v>Да</v>
      </c>
      <c r="L71" s="0" t="str">
        <f aca="false">IFERROR(__xludf.dummyfunction("""COMPUTED_VALUE"""),"будет")</f>
        <v>будет</v>
      </c>
    </row>
    <row r="72" customFormat="false" ht="15.75" hidden="false" customHeight="false" outlineLevel="0" collapsed="false">
      <c r="A72" s="11" t="n">
        <f aca="false">IFERROR(__xludf.dummyfunction("""COMPUTED_VALUE"""),43221.3366987037)</f>
        <v>43221.3367</v>
      </c>
      <c r="B72" s="0" t="str">
        <f aca="false">IFERROR(__xludf.dummyfunction("""COMPUTED_VALUE"""),"Долгова")</f>
        <v>Долгова</v>
      </c>
      <c r="C72" s="0" t="str">
        <f aca="false">IFERROR(__xludf.dummyfunction("""COMPUTED_VALUE"""),"Анна")</f>
        <v>Анна</v>
      </c>
      <c r="D72" s="0" t="n">
        <f aca="false">IFERROR(__xludf.dummyfunction("""COMPUTED_VALUE"""),8)</f>
        <v>8</v>
      </c>
      <c r="E72" s="0" t="n">
        <f aca="false">IFERROR(__xludf.dummyfunction("""COMPUTED_VALUE"""),117)</f>
        <v>117</v>
      </c>
      <c r="G72" s="12" t="str">
        <f aca="false">IFERROR(__xludf.dummyfunction("""COMPUTED_VALUE"""),"vk.com/anna_dolgova2004")</f>
        <v>vk.com/anna_dolgova2004</v>
      </c>
      <c r="H72" s="0" t="str">
        <f aca="false">IFERROR(__xludf.dummyfunction("""COMPUTED_VALUE"""),"anna.dolgova.2004@mail.ru")</f>
        <v>anna.dolgova.2004@mail.ru</v>
      </c>
      <c r="I72" s="0" t="str">
        <f aca="false">IFERROR(__xludf.dummyfunction("""COMPUTED_VALUE"""),"Социология")</f>
        <v>Социология</v>
      </c>
      <c r="J72" s="0" t="str">
        <f aca="false">IFERROR(__xludf.dummyfunction("""COMPUTED_VALUE"""),"Введение в российское право")</f>
        <v>Введение в российское право</v>
      </c>
      <c r="K72" s="0" t="str">
        <f aca="false">IFERROR(__xludf.dummyfunction("""COMPUTED_VALUE"""),"Да")</f>
        <v>Да</v>
      </c>
      <c r="L72" s="0" t="str">
        <f aca="false">IFERROR(__xludf.dummyfunction("""COMPUTED_VALUE"""),"будет")</f>
        <v>будет</v>
      </c>
    </row>
    <row r="73" customFormat="false" ht="15.75" hidden="false" customHeight="false" outlineLevel="0" collapsed="false">
      <c r="A73" s="11" t="n">
        <f aca="false">IFERROR(__xludf.dummyfunction("""COMPUTED_VALUE"""),43221.3430703588)</f>
        <v>43221.34307</v>
      </c>
      <c r="B73" s="0" t="str">
        <f aca="false">IFERROR(__xludf.dummyfunction("""COMPUTED_VALUE"""),"Шишко")</f>
        <v>Шишко</v>
      </c>
      <c r="C73" s="0" t="str">
        <f aca="false">IFERROR(__xludf.dummyfunction("""COMPUTED_VALUE"""),"Алёна")</f>
        <v>Алёна</v>
      </c>
      <c r="D73" s="0" t="n">
        <f aca="false">IFERROR(__xludf.dummyfunction("""COMPUTED_VALUE"""),8)</f>
        <v>8</v>
      </c>
      <c r="E73" s="0" t="n">
        <f aca="false">IFERROR(__xludf.dummyfunction("""COMPUTED_VALUE"""),117)</f>
        <v>117</v>
      </c>
      <c r="G73" s="12" t="str">
        <f aca="false">IFERROR(__xludf.dummyfunction("""COMPUTED_VALUE"""),"vk.com/id308485017")</f>
        <v>vk.com/id308485017</v>
      </c>
      <c r="H73" s="0" t="str">
        <f aca="false">IFERROR(__xludf.dummyfunction("""COMPUTED_VALUE"""),"alena_shishko@inbox.ru")</f>
        <v>alena_shishko@inbox.ru</v>
      </c>
      <c r="I73" s="0" t="str">
        <f aca="false">IFERROR(__xludf.dummyfunction("""COMPUTED_VALUE"""),"Социология")</f>
        <v>Социология</v>
      </c>
      <c r="J73" s="0" t="str">
        <f aca="false">IFERROR(__xludf.dummyfunction("""COMPUTED_VALUE"""),"Введение в российское право")</f>
        <v>Введение в российское право</v>
      </c>
      <c r="K73" s="0" t="str">
        <f aca="false">IFERROR(__xludf.dummyfunction("""COMPUTED_VALUE"""),"Нет")</f>
        <v>Нет</v>
      </c>
      <c r="L73" s="0" t="str">
        <f aca="false">IFERROR(__xludf.dummyfunction("""COMPUTED_VALUE"""),"будет")</f>
        <v>будет</v>
      </c>
    </row>
    <row r="74" customFormat="false" ht="15.75" hidden="false" customHeight="false" outlineLevel="0" collapsed="false">
      <c r="A74" s="11" t="n">
        <f aca="false">IFERROR(__xludf.dummyfunction("""COMPUTED_VALUE"""),43221.4677968866)</f>
        <v>43221.4678</v>
      </c>
      <c r="B74" s="0" t="str">
        <f aca="false">IFERROR(__xludf.dummyfunction("""COMPUTED_VALUE"""),"Любавина")</f>
        <v>Любавина</v>
      </c>
      <c r="C74" s="0" t="str">
        <f aca="false">IFERROR(__xludf.dummyfunction("""COMPUTED_VALUE"""),"София")</f>
        <v>София</v>
      </c>
      <c r="D74" s="0" t="n">
        <f aca="false">IFERROR(__xludf.dummyfunction("""COMPUTED_VALUE"""),10)</f>
        <v>10</v>
      </c>
      <c r="E74" s="0" t="n">
        <f aca="false">IFERROR(__xludf.dummyfunction("""COMPUTED_VALUE"""),117)</f>
        <v>117</v>
      </c>
      <c r="G74" s="12" t="str">
        <f aca="false">IFERROR(__xludf.dummyfunction("""COMPUTED_VALUE"""),"vk.com/sofialyubavina")</f>
        <v>vk.com/sofialyubavina</v>
      </c>
      <c r="H74" s="0" t="str">
        <f aca="false">IFERROR(__xludf.dummyfunction("""COMPUTED_VALUE"""),"sophiaomsk@mail.ru")</f>
        <v>sophiaomsk@mail.ru</v>
      </c>
      <c r="I74" s="0" t="str">
        <f aca="false">IFERROR(__xludf.dummyfunction("""COMPUTED_VALUE"""),"Программирование на arduino")</f>
        <v>Программирование на arduino</v>
      </c>
      <c r="J74" s="0" t="str">
        <f aca="false">IFERROR(__xludf.dummyfunction("""COMPUTED_VALUE"""),"Границы применимости физических моделей")</f>
        <v>Границы применимости физических моделей</v>
      </c>
      <c r="K74" s="0" t="str">
        <f aca="false">IFERROR(__xludf.dummyfunction("""COMPUTED_VALUE"""),"Нет")</f>
        <v>Нет</v>
      </c>
      <c r="L74" s="0" t="str">
        <f aca="false">IFERROR(__xludf.dummyfunction("""COMPUTED_VALUE"""),"будет")</f>
        <v>будет</v>
      </c>
    </row>
    <row r="75" customFormat="false" ht="15.75" hidden="false" customHeight="false" outlineLevel="0" collapsed="false">
      <c r="A75" s="11" t="n">
        <f aca="false">IFERROR(__xludf.dummyfunction("""COMPUTED_VALUE"""),43221.6035221759)</f>
        <v>43221.60352</v>
      </c>
      <c r="B75" s="0" t="str">
        <f aca="false">IFERROR(__xludf.dummyfunction("""COMPUTED_VALUE"""),"Малышков")</f>
        <v>Малышков</v>
      </c>
      <c r="C75" s="0" t="str">
        <f aca="false">IFERROR(__xludf.dummyfunction("""COMPUTED_VALUE"""),"Роман")</f>
        <v>Роман</v>
      </c>
      <c r="D75" s="0" t="n">
        <f aca="false">IFERROR(__xludf.dummyfunction("""COMPUTED_VALUE"""),10)</f>
        <v>10</v>
      </c>
      <c r="E75" s="0" t="n">
        <f aca="false">IFERROR(__xludf.dummyfunction("""COMPUTED_VALUE"""),64)</f>
        <v>64</v>
      </c>
      <c r="G75" s="0" t="str">
        <f aca="false">IFERROR(__xludf.dummyfunction("""COMPUTED_VALUE"""),"Нет")</f>
        <v>Нет</v>
      </c>
      <c r="H75" s="0" t="str">
        <f aca="false">IFERROR(__xludf.dummyfunction("""COMPUTED_VALUE"""),"malyshkov.roman@gmail.com")</f>
        <v>malyshkov.roman@gmail.com</v>
      </c>
      <c r="I75" s="0" t="str">
        <f aca="false">IFERROR(__xludf.dummyfunction("""COMPUTED_VALUE"""),"Введение в анализ данных")</f>
        <v>Введение в анализ данных</v>
      </c>
      <c r="J75" s="0" t="str">
        <f aca="false">IFERROR(__xludf.dummyfunction("""COMPUTED_VALUE"""),"Теория вероятностей")</f>
        <v>Теория вероятностей</v>
      </c>
      <c r="K75" s="0" t="str">
        <f aca="false">IFERROR(__xludf.dummyfunction("""COMPUTED_VALUE"""),"Нет")</f>
        <v>Нет</v>
      </c>
      <c r="L75" s="0" t="str">
        <f aca="false">IFERROR(__xludf.dummyfunction("""COMPUTED_VALUE"""),"будет")</f>
        <v>будет</v>
      </c>
    </row>
    <row r="76" customFormat="false" ht="15.75" hidden="false" customHeight="false" outlineLevel="0" collapsed="false">
      <c r="A76" s="11" t="n">
        <f aca="false">IFERROR(__xludf.dummyfunction("""COMPUTED_VALUE"""),43221.6140246991)</f>
        <v>43221.61402</v>
      </c>
      <c r="B76" s="0" t="str">
        <f aca="false">IFERROR(__xludf.dummyfunction("""COMPUTED_VALUE"""),"Ткач")</f>
        <v>Ткач</v>
      </c>
      <c r="C76" s="0" t="str">
        <f aca="false">IFERROR(__xludf.dummyfunction("""COMPUTED_VALUE"""),"Софья")</f>
        <v>Софья</v>
      </c>
      <c r="D76" s="0" t="n">
        <f aca="false">IFERROR(__xludf.dummyfunction("""COMPUTED_VALUE"""),9)</f>
        <v>9</v>
      </c>
      <c r="E76" s="0" t="n">
        <f aca="false">IFERROR(__xludf.dummyfunction("""COMPUTED_VALUE"""),43)</f>
        <v>43</v>
      </c>
      <c r="F76" s="0" t="str">
        <f aca="false">IFERROR(__xludf.dummyfunction("""COMPUTED_VALUE"""),"Буду первые 2 дня")</f>
        <v>Буду первые 2 дня</v>
      </c>
      <c r="G76" s="12" t="str">
        <f aca="false">IFERROR(__xludf.dummyfunction("""COMPUTED_VALUE"""),"vk.com/id186803102")</f>
        <v>vk.com/id186803102</v>
      </c>
      <c r="H76" s="0" t="str">
        <f aca="false">IFERROR(__xludf.dummyfunction("""COMPUTED_VALUE"""),"sonytkach@mail.ru")</f>
        <v>sonytkach@mail.ru</v>
      </c>
      <c r="I76" s="0" t="str">
        <f aca="false">IFERROR(__xludf.dummyfunction("""COMPUTED_VALUE"""),"Введение в анализ данных")</f>
        <v>Введение в анализ данных</v>
      </c>
      <c r="J76" s="0" t="str">
        <f aca="false">IFERROR(__xludf.dummyfunction("""COMPUTED_VALUE"""),"Меня не будет в эту половину")</f>
        <v>Меня не будет в эту половину</v>
      </c>
      <c r="K76" s="0" t="str">
        <f aca="false">IFERROR(__xludf.dummyfunction("""COMPUTED_VALUE"""),"Да")</f>
        <v>Да</v>
      </c>
      <c r="L76" s="0" t="str">
        <f aca="false">IFERROR(__xludf.dummyfunction("""COMPUTED_VALUE"""),"будет")</f>
        <v>будет</v>
      </c>
    </row>
    <row r="77" customFormat="false" ht="15.75" hidden="false" customHeight="false" outlineLevel="0" collapsed="false">
      <c r="A77" s="11" t="n">
        <f aca="false">IFERROR(__xludf.dummyfunction("""COMPUTED_VALUE"""),43221.6194452778)</f>
        <v>43221.61945</v>
      </c>
      <c r="B77" s="0" t="str">
        <f aca="false">IFERROR(__xludf.dummyfunction("""COMPUTED_VALUE"""),"Кошевая")</f>
        <v>Кошевая</v>
      </c>
      <c r="C77" s="0" t="str">
        <f aca="false">IFERROR(__xludf.dummyfunction("""COMPUTED_VALUE"""),"Анастасия")</f>
        <v>Анастасия</v>
      </c>
      <c r="D77" s="0" t="n">
        <f aca="false">IFERROR(__xludf.dummyfunction("""COMPUTED_VALUE"""),8)</f>
        <v>8</v>
      </c>
      <c r="E77" s="0" t="n">
        <f aca="false">IFERROR(__xludf.dummyfunction("""COMPUTED_VALUE"""),117)</f>
        <v>117</v>
      </c>
      <c r="G77" s="12" t="str">
        <f aca="false">IFERROR(__xludf.dummyfunction("""COMPUTED_VALUE"""),"vk.com/id249818753")</f>
        <v>vk.com/id249818753</v>
      </c>
      <c r="H77" s="0" t="str">
        <f aca="false">IFERROR(__xludf.dummyfunction("""COMPUTED_VALUE"""),"a_koshevaya.03@mail.ru")</f>
        <v>a_koshevaya.03@mail.ru</v>
      </c>
      <c r="I77" s="0" t="str">
        <f aca="false">IFERROR(__xludf.dummyfunction("""COMPUTED_VALUE"""),"Олимпиадная математика")</f>
        <v>Олимпиадная математика</v>
      </c>
      <c r="J77" s="0" t="str">
        <f aca="false">IFERROR(__xludf.dummyfunction("""COMPUTED_VALUE"""),"Экономическое мышление и никакой математики!")</f>
        <v>Экономическое мышление и никакой математики!</v>
      </c>
      <c r="K77" s="0" t="str">
        <f aca="false">IFERROR(__xludf.dummyfunction("""COMPUTED_VALUE"""),"Да")</f>
        <v>Да</v>
      </c>
      <c r="L77" s="0" t="str">
        <f aca="false">IFERROR(__xludf.dummyfunction("""COMPUTED_VALUE"""),"будет")</f>
        <v>будет</v>
      </c>
    </row>
    <row r="78" customFormat="false" ht="15.75" hidden="false" customHeight="false" outlineLevel="0" collapsed="false">
      <c r="A78" s="11" t="n">
        <f aca="false">IFERROR(__xludf.dummyfunction("""COMPUTED_VALUE"""),43221.6501416435)</f>
        <v>43221.65014</v>
      </c>
      <c r="B78" s="0" t="str">
        <f aca="false">IFERROR(__xludf.dummyfunction("""COMPUTED_VALUE"""),"Бахмутский")</f>
        <v>Бахмутский</v>
      </c>
      <c r="C78" s="0" t="str">
        <f aca="false">IFERROR(__xludf.dummyfunction("""COMPUTED_VALUE"""),"Андрей")</f>
        <v>Андрей</v>
      </c>
      <c r="D78" s="0" t="n">
        <f aca="false">IFERROR(__xludf.dummyfunction("""COMPUTED_VALUE"""),9)</f>
        <v>9</v>
      </c>
      <c r="E78" s="0" t="n">
        <f aca="false">IFERROR(__xludf.dummyfunction("""COMPUTED_VALUE"""),117)</f>
        <v>117</v>
      </c>
      <c r="G78" s="0" t="str">
        <f aca="false">IFERROR(__xludf.dummyfunction("""COMPUTED_VALUE"""),"Нет")</f>
        <v>Нет</v>
      </c>
      <c r="H78" s="0" t="str">
        <f aca="false">IFERROR(__xludf.dummyfunction("""COMPUTED_VALUE"""),"andremutskiy@mail.ru")</f>
        <v>andremutskiy@mail.ru</v>
      </c>
      <c r="I78" s="0" t="str">
        <f aca="false">IFERROR(__xludf.dummyfunction("""COMPUTED_VALUE"""),"Олимпиадная математика")</f>
        <v>Олимпиадная математика</v>
      </c>
      <c r="J78" s="0" t="str">
        <f aca="false">IFERROR(__xludf.dummyfunction("""COMPUTED_VALUE"""),"Экономическое мышление и никакой математики!")</f>
        <v>Экономическое мышление и никакой математики!</v>
      </c>
      <c r="K78" s="0" t="str">
        <f aca="false">IFERROR(__xludf.dummyfunction("""COMPUTED_VALUE"""),"Нет")</f>
        <v>Нет</v>
      </c>
      <c r="L78" s="0" t="str">
        <f aca="false">IFERROR(__xludf.dummyfunction("""COMPUTED_VALUE"""),"неизвестно")</f>
        <v>неизвестно</v>
      </c>
    </row>
    <row r="79" customFormat="false" ht="15.75" hidden="false" customHeight="false" outlineLevel="0" collapsed="false">
      <c r="A79" s="11" t="n">
        <f aca="false">IFERROR(__xludf.dummyfunction("""COMPUTED_VALUE"""),43221.6979844213)</f>
        <v>43221.69798</v>
      </c>
      <c r="B79" s="0" t="str">
        <f aca="false">IFERROR(__xludf.dummyfunction("""COMPUTED_VALUE"""),"Сушкова")</f>
        <v>Сушкова</v>
      </c>
      <c r="C79" s="0" t="str">
        <f aca="false">IFERROR(__xludf.dummyfunction("""COMPUTED_VALUE"""),"Ирина")</f>
        <v>Ирина</v>
      </c>
      <c r="D79" s="0" t="n">
        <f aca="false">IFERROR(__xludf.dummyfunction("""COMPUTED_VALUE"""),10)</f>
        <v>10</v>
      </c>
      <c r="E79" s="0" t="n">
        <f aca="false">IFERROR(__xludf.dummyfunction("""COMPUTED_VALUE"""),117)</f>
        <v>117</v>
      </c>
      <c r="G79" s="12" t="str">
        <f aca="false">IFERROR(__xludf.dummyfunction("""COMPUTED_VALUE"""),"vk.com/id402259781")</f>
        <v>vk.com/id402259781</v>
      </c>
      <c r="H79" s="0" t="str">
        <f aca="false">IFERROR(__xludf.dummyfunction("""COMPUTED_VALUE"""),"suirma@gmail.com")</f>
        <v>suirma@gmail.com</v>
      </c>
      <c r="I79" s="0" t="str">
        <f aca="false">IFERROR(__xludf.dummyfunction("""COMPUTED_VALUE"""),"Теория игр")</f>
        <v>Теория игр</v>
      </c>
      <c r="J79" s="0" t="str">
        <f aca="false">IFERROR(__xludf.dummyfunction("""COMPUTED_VALUE"""),"Границы применимости физических моделей")</f>
        <v>Границы применимости физических моделей</v>
      </c>
      <c r="K79" s="0" t="str">
        <f aca="false">IFERROR(__xludf.dummyfunction("""COMPUTED_VALUE"""),"Да")</f>
        <v>Да</v>
      </c>
      <c r="L79" s="0" t="str">
        <f aca="false">IFERROR(__xludf.dummyfunction("""COMPUTED_VALUE"""),"будет")</f>
        <v>будет</v>
      </c>
      <c r="M79" s="1" t="n">
        <v>1</v>
      </c>
    </row>
    <row r="80" customFormat="false" ht="15.75" hidden="false" customHeight="false" outlineLevel="0" collapsed="false">
      <c r="A80" s="11" t="n">
        <f aca="false">IFERROR(__xludf.dummyfunction("""COMPUTED_VALUE"""),43221.8118024653)</f>
        <v>43221.8118</v>
      </c>
      <c r="B80" s="0" t="str">
        <f aca="false">IFERROR(__xludf.dummyfunction("""COMPUTED_VALUE"""),"Уткина")</f>
        <v>Уткина</v>
      </c>
      <c r="C80" s="0" t="str">
        <f aca="false">IFERROR(__xludf.dummyfunction("""COMPUTED_VALUE"""),"Лиза")</f>
        <v>Лиза</v>
      </c>
      <c r="D80" s="0" t="n">
        <f aca="false">IFERROR(__xludf.dummyfunction("""COMPUTED_VALUE"""),8)</f>
        <v>8</v>
      </c>
      <c r="E80" s="0" t="n">
        <f aca="false">IFERROR(__xludf.dummyfunction("""COMPUTED_VALUE"""),117)</f>
        <v>117</v>
      </c>
      <c r="G80" s="12" t="str">
        <f aca="false">IFERROR(__xludf.dummyfunction("""COMPUTED_VALUE"""),"vk.com/utlisa")</f>
        <v>vk.com/utlisa</v>
      </c>
      <c r="H80" s="0" t="str">
        <f aca="false">IFERROR(__xludf.dummyfunction("""COMPUTED_VALUE"""),"utlisa@mail.ru")</f>
        <v>utlisa@mail.ru</v>
      </c>
      <c r="I80" s="0" t="str">
        <f aca="false">IFERROR(__xludf.dummyfunction("""COMPUTED_VALUE"""),"Международное право")</f>
        <v>Международное право</v>
      </c>
      <c r="J80" s="0" t="str">
        <f aca="false">IFERROR(__xludf.dummyfunction("""COMPUTED_VALUE"""),"Экономическое мышление и никакой математики!")</f>
        <v>Экономическое мышление и никакой математики!</v>
      </c>
      <c r="K80" s="0" t="str">
        <f aca="false">IFERROR(__xludf.dummyfunction("""COMPUTED_VALUE"""),"Да")</f>
        <v>Да</v>
      </c>
      <c r="L80" s="0" t="str">
        <f aca="false">IFERROR(__xludf.dummyfunction("""COMPUTED_VALUE"""),"будет")</f>
        <v>будет</v>
      </c>
    </row>
    <row r="81" customFormat="false" ht="15.75" hidden="false" customHeight="false" outlineLevel="0" collapsed="false">
      <c r="A81" s="11" t="n">
        <f aca="false">IFERROR(__xludf.dummyfunction("""COMPUTED_VALUE"""),43221.8255876736)</f>
        <v>43221.82559</v>
      </c>
      <c r="B81" s="0" t="str">
        <f aca="false">IFERROR(__xludf.dummyfunction("""COMPUTED_VALUE"""),"Башкатова")</f>
        <v>Башкатова</v>
      </c>
      <c r="C81" s="0" t="str">
        <f aca="false">IFERROR(__xludf.dummyfunction("""COMPUTED_VALUE"""),"Алиса")</f>
        <v>Алиса</v>
      </c>
      <c r="D81" s="0" t="n">
        <f aca="false">IFERROR(__xludf.dummyfunction("""COMPUTED_VALUE"""),10)</f>
        <v>10</v>
      </c>
      <c r="E81" s="0" t="n">
        <f aca="false">IFERROR(__xludf.dummyfunction("""COMPUTED_VALUE"""),123)</f>
        <v>123</v>
      </c>
      <c r="G81" s="12" t="str">
        <f aca="false">IFERROR(__xludf.dummyfunction("""COMPUTED_VALUE"""),"vk.com/id139785776")</f>
        <v>vk.com/id139785776</v>
      </c>
      <c r="H81" s="0" t="str">
        <f aca="false">IFERROR(__xludf.dummyfunction("""COMPUTED_VALUE"""),"bashkatova-2001@mail.ru")</f>
        <v>bashkatova-2001@mail.ru</v>
      </c>
      <c r="I81" s="0" t="str">
        <f aca="false">IFERROR(__xludf.dummyfunction("""COMPUTED_VALUE"""),"Международное право")</f>
        <v>Международное право</v>
      </c>
      <c r="J81" s="0" t="str">
        <f aca="false">IFERROR(__xludf.dummyfunction("""COMPUTED_VALUE"""),"Теория вероятностей")</f>
        <v>Теория вероятностей</v>
      </c>
      <c r="K81" s="0" t="str">
        <f aca="false">IFERROR(__xludf.dummyfunction("""COMPUTED_VALUE"""),"Нет")</f>
        <v>Нет</v>
      </c>
      <c r="L81" s="0" t="str">
        <f aca="false">IFERROR(__xludf.dummyfunction("""COMPUTED_VALUE"""),"будет")</f>
        <v>будет</v>
      </c>
      <c r="M81" s="1" t="n">
        <v>1</v>
      </c>
    </row>
    <row r="82" customFormat="false" ht="15.75" hidden="false" customHeight="false" outlineLevel="0" collapsed="false">
      <c r="A82" s="11" t="n">
        <f aca="false">IFERROR(__xludf.dummyfunction("""COMPUTED_VALUE"""),43221.8256128588)</f>
        <v>43221.82561</v>
      </c>
      <c r="B82" s="0" t="str">
        <f aca="false">IFERROR(__xludf.dummyfunction("""COMPUTED_VALUE"""),"Пирожкова ")</f>
        <v>Пирожкова</v>
      </c>
      <c r="C82" s="0" t="str">
        <f aca="false">IFERROR(__xludf.dummyfunction("""COMPUTED_VALUE"""),"Екатерина ")</f>
        <v>Екатерина</v>
      </c>
      <c r="D82" s="0" t="n">
        <f aca="false">IFERROR(__xludf.dummyfunction("""COMPUTED_VALUE"""),10)</f>
        <v>10</v>
      </c>
      <c r="E82" s="0" t="n">
        <f aca="false">IFERROR(__xludf.dummyfunction("""COMPUTED_VALUE"""),84)</f>
        <v>84</v>
      </c>
      <c r="G82" s="12" t="str">
        <f aca="false">IFERROR(__xludf.dummyfunction("""COMPUTED_VALUE"""),"vk.com/katyaaaa468")</f>
        <v>vk.com/katyaaaa468</v>
      </c>
      <c r="H82" s="0" t="str">
        <f aca="false">IFERROR(__xludf.dummyfunction("""COMPUTED_VALUE"""),"ekaterina.pirozhkova2@gmail.com")</f>
        <v>ekaterina.pirozhkova2@gmail.com</v>
      </c>
      <c r="I82" s="0" t="str">
        <f aca="false">IFERROR(__xludf.dummyfunction("""COMPUTED_VALUE"""),"Международное право")</f>
        <v>Международное право</v>
      </c>
      <c r="J82" s="0" t="str">
        <f aca="false">IFERROR(__xludf.dummyfunction("""COMPUTED_VALUE"""),"Теория вероятностей")</f>
        <v>Теория вероятностей</v>
      </c>
      <c r="K82" s="0" t="str">
        <f aca="false">IFERROR(__xludf.dummyfunction("""COMPUTED_VALUE"""),"Нет")</f>
        <v>Нет</v>
      </c>
      <c r="L82" s="0" t="str">
        <f aca="false">IFERROR(__xludf.dummyfunction("""COMPUTED_VALUE"""),"будет")</f>
        <v>будет</v>
      </c>
    </row>
    <row r="83" customFormat="false" ht="15.75" hidden="false" customHeight="false" outlineLevel="0" collapsed="false">
      <c r="A83" s="11" t="n">
        <f aca="false">IFERROR(__xludf.dummyfunction("""COMPUTED_VALUE"""),43221.8337743866)</f>
        <v>43221.83377</v>
      </c>
      <c r="B83" s="0" t="str">
        <f aca="false">IFERROR(__xludf.dummyfunction("""COMPUTED_VALUE"""),"Виноградова")</f>
        <v>Виноградова</v>
      </c>
      <c r="C83" s="0" t="str">
        <f aca="false">IFERROR(__xludf.dummyfunction("""COMPUTED_VALUE"""),"Валерия")</f>
        <v>Валерия</v>
      </c>
      <c r="D83" s="0" t="n">
        <f aca="false">IFERROR(__xludf.dummyfunction("""COMPUTED_VALUE"""),8)</f>
        <v>8</v>
      </c>
      <c r="E83" s="0" t="n">
        <f aca="false">IFERROR(__xludf.dummyfunction("""COMPUTED_VALUE"""),117)</f>
        <v>117</v>
      </c>
      <c r="G83" s="12" t="str">
        <f aca="false">IFERROR(__xludf.dummyfunction("""COMPUTED_VALUE"""),"vk.com/valeria_vinogradova0")</f>
        <v>vk.com/valeria_vinogradova0</v>
      </c>
      <c r="H83" s="0" t="str">
        <f aca="false">IFERROR(__xludf.dummyfunction("""COMPUTED_VALUE"""),"valera.vinogradowa2015@ya.ru")</f>
        <v>valera.vinogradowa2015@ya.ru</v>
      </c>
      <c r="I83" s="0" t="str">
        <f aca="false">IFERROR(__xludf.dummyfunction("""COMPUTED_VALUE"""),"Биология")</f>
        <v>Биология</v>
      </c>
      <c r="J83" s="0" t="str">
        <f aca="false">IFERROR(__xludf.dummyfunction("""COMPUTED_VALUE"""),"Олимпиадная химия")</f>
        <v>Олимпиадная химия</v>
      </c>
      <c r="K83" s="0" t="str">
        <f aca="false">IFERROR(__xludf.dummyfunction("""COMPUTED_VALUE"""),"Нет")</f>
        <v>Нет</v>
      </c>
      <c r="L83" s="0" t="str">
        <f aca="false">IFERROR(__xludf.dummyfunction("""COMPUTED_VALUE"""),"будет")</f>
        <v>будет</v>
      </c>
    </row>
    <row r="84" customFormat="false" ht="15.75" hidden="false" customHeight="false" outlineLevel="0" collapsed="false">
      <c r="A84" s="11" t="n">
        <f aca="false">IFERROR(__xludf.dummyfunction("""COMPUTED_VALUE"""),43221.836970081)</f>
        <v>43221.83697</v>
      </c>
      <c r="B84" s="0" t="str">
        <f aca="false">IFERROR(__xludf.dummyfunction("""COMPUTED_VALUE"""),"Валитов")</f>
        <v>Валитов</v>
      </c>
      <c r="C84" s="0" t="str">
        <f aca="false">IFERROR(__xludf.dummyfunction("""COMPUTED_VALUE"""),"Андрей")</f>
        <v>Андрей</v>
      </c>
      <c r="D84" s="0" t="n">
        <f aca="false">IFERROR(__xludf.dummyfunction("""COMPUTED_VALUE"""),10)</f>
        <v>10</v>
      </c>
      <c r="E84" s="0" t="n">
        <f aca="false">IFERROR(__xludf.dummyfunction("""COMPUTED_VALUE"""),166)</f>
        <v>166</v>
      </c>
      <c r="G84" s="12" t="str">
        <f aca="false">IFERROR(__xludf.dummyfunction("""COMPUTED_VALUE"""),"vk.com/andrvat")</f>
        <v>vk.com/andrvat</v>
      </c>
      <c r="H84" s="0" t="str">
        <f aca="false">IFERROR(__xludf.dummyfunction("""COMPUTED_VALUE"""),"sidney.44@mail.ru")</f>
        <v>sidney.44@mail.ru</v>
      </c>
      <c r="I84" s="0" t="str">
        <f aca="false">IFERROR(__xludf.dummyfunction("""COMPUTED_VALUE"""),"Введение в анализ данных")</f>
        <v>Введение в анализ данных</v>
      </c>
      <c r="J84" s="0" t="str">
        <f aca="false">IFERROR(__xludf.dummyfunction("""COMPUTED_VALUE"""),"Олимпиадное программирование")</f>
        <v>Олимпиадное программирование</v>
      </c>
      <c r="K84" s="0" t="str">
        <f aca="false">IFERROR(__xludf.dummyfunction("""COMPUTED_VALUE"""),"Нет")</f>
        <v>Нет</v>
      </c>
      <c r="L84" s="0" t="str">
        <f aca="false">IFERROR(__xludf.dummyfunction("""COMPUTED_VALUE"""),"будет")</f>
        <v>будет</v>
      </c>
    </row>
    <row r="85" customFormat="false" ht="15.75" hidden="false" customHeight="false" outlineLevel="0" collapsed="false">
      <c r="A85" s="11" t="n">
        <f aca="false">IFERROR(__xludf.dummyfunction("""COMPUTED_VALUE"""),43221.8391082407)</f>
        <v>43221.83911</v>
      </c>
      <c r="B85" s="0" t="str">
        <f aca="false">IFERROR(__xludf.dummyfunction("""COMPUTED_VALUE"""),"Матчин")</f>
        <v>Матчин</v>
      </c>
      <c r="C85" s="0" t="str">
        <f aca="false">IFERROR(__xludf.dummyfunction("""COMPUTED_VALUE"""),"Артемий")</f>
        <v>Артемий</v>
      </c>
      <c r="D85" s="0" t="n">
        <f aca="false">IFERROR(__xludf.dummyfunction("""COMPUTED_VALUE"""),10)</f>
        <v>10</v>
      </c>
      <c r="E85" s="0" t="n">
        <f aca="false">IFERROR(__xludf.dummyfunction("""COMPUTED_VALUE"""),166)</f>
        <v>166</v>
      </c>
      <c r="G85" s="12" t="str">
        <f aca="false">IFERROR(__xludf.dummyfunction("""COMPUTED_VALUE"""),"vk.com/udav_gosha")</f>
        <v>vk.com/udav_gosha</v>
      </c>
      <c r="H85" s="0" t="str">
        <f aca="false">IFERROR(__xludf.dummyfunction("""COMPUTED_VALUE"""),"art16ws@gmail.com")</f>
        <v>art16ws@gmail.com</v>
      </c>
      <c r="I85" s="0" t="str">
        <f aca="false">IFERROR(__xludf.dummyfunction("""COMPUTED_VALUE"""),"Введение в анализ данных")</f>
        <v>Введение в анализ данных</v>
      </c>
      <c r="J85" s="0" t="str">
        <f aca="false">IFERROR(__xludf.dummyfunction("""COMPUTED_VALUE"""),"Олимпиадное программирование")</f>
        <v>Олимпиадное программирование</v>
      </c>
      <c r="K85" s="0" t="str">
        <f aca="false">IFERROR(__xludf.dummyfunction("""COMPUTED_VALUE"""),"Нет")</f>
        <v>Нет</v>
      </c>
      <c r="L85" s="0" t="str">
        <f aca="false">IFERROR(__xludf.dummyfunction("""COMPUTED_VALUE"""),"будет")</f>
        <v>будет</v>
      </c>
    </row>
    <row r="86" customFormat="false" ht="15.75" hidden="false" customHeight="false" outlineLevel="0" collapsed="false">
      <c r="A86" s="11" t="n">
        <f aca="false">IFERROR(__xludf.dummyfunction("""COMPUTED_VALUE"""),43221.8653332986)</f>
        <v>43221.86533</v>
      </c>
      <c r="B86" s="0" t="str">
        <f aca="false">IFERROR(__xludf.dummyfunction("""COMPUTED_VALUE"""),"Крючков")</f>
        <v>Крючков</v>
      </c>
      <c r="C86" s="0" t="str">
        <f aca="false">IFERROR(__xludf.dummyfunction("""COMPUTED_VALUE"""),"Сергей")</f>
        <v>Сергей</v>
      </c>
      <c r="D86" s="0" t="n">
        <f aca="false">IFERROR(__xludf.dummyfunction("""COMPUTED_VALUE"""),10)</f>
        <v>10</v>
      </c>
      <c r="E86" s="0" t="n">
        <f aca="false">IFERROR(__xludf.dummyfunction("""COMPUTED_VALUE"""),66)</f>
        <v>66</v>
      </c>
      <c r="G86" s="12" t="str">
        <f aca="false">IFERROR(__xludf.dummyfunction("""COMPUTED_VALUE"""),"vk.com/sergey80401")</f>
        <v>vk.com/sergey80401</v>
      </c>
      <c r="H86" s="0" t="str">
        <f aca="false">IFERROR(__xludf.dummyfunction("""COMPUTED_VALUE"""),"sergey80401@gmail.com")</f>
        <v>sergey80401@gmail.com</v>
      </c>
      <c r="I86" s="0" t="str">
        <f aca="false">IFERROR(__xludf.dummyfunction("""COMPUTED_VALUE"""),"Матричная оптика")</f>
        <v>Матричная оптика</v>
      </c>
      <c r="J86" s="0" t="str">
        <f aca="false">IFERROR(__xludf.dummyfunction("""COMPUTED_VALUE"""),"Олимпиадное программирование")</f>
        <v>Олимпиадное программирование</v>
      </c>
      <c r="K86" s="0" t="str">
        <f aca="false">IFERROR(__xludf.dummyfunction("""COMPUTED_VALUE"""),"Да")</f>
        <v>Да</v>
      </c>
      <c r="L86" s="0" t="str">
        <f aca="false">IFERROR(__xludf.dummyfunction("""COMPUTED_VALUE"""),"будет")</f>
        <v>будет</v>
      </c>
      <c r="M86" s="1" t="n">
        <v>1</v>
      </c>
    </row>
    <row r="87" customFormat="false" ht="15.75" hidden="false" customHeight="false" outlineLevel="0" collapsed="false">
      <c r="A87" s="11" t="n">
        <f aca="false">IFERROR(__xludf.dummyfunction("""COMPUTED_VALUE"""),43221.8669291088)</f>
        <v>43221.86693</v>
      </c>
      <c r="B87" s="0" t="str">
        <f aca="false">IFERROR(__xludf.dummyfunction("""COMPUTED_VALUE"""),"Захаров")</f>
        <v>Захаров</v>
      </c>
      <c r="C87" s="0" t="str">
        <f aca="false">IFERROR(__xludf.dummyfunction("""COMPUTED_VALUE"""),"Всеволод")</f>
        <v>Всеволод</v>
      </c>
      <c r="D87" s="0" t="n">
        <f aca="false">IFERROR(__xludf.dummyfunction("""COMPUTED_VALUE"""),10)</f>
        <v>10</v>
      </c>
      <c r="E87" s="0" t="n">
        <f aca="false">IFERROR(__xludf.dummyfunction("""COMPUTED_VALUE"""),92)</f>
        <v>92</v>
      </c>
      <c r="G87" s="12" t="str">
        <f aca="false">IFERROR(__xludf.dummyfunction("""COMPUTED_VALUE"""),"vk.com/id288643683")</f>
        <v>vk.com/id288643683</v>
      </c>
      <c r="H87" s="0" t="str">
        <f aca="false">IFERROR(__xludf.dummyfunction("""COMPUTED_VALUE"""),"seva_zakharov@mail.ru")</f>
        <v>seva_zakharov@mail.ru</v>
      </c>
      <c r="I87" s="0" t="str">
        <f aca="false">IFERROR(__xludf.dummyfunction("""COMPUTED_VALUE"""),"Матричная оптика")</f>
        <v>Матричная оптика</v>
      </c>
      <c r="J87" s="0" t="str">
        <f aca="false">IFERROR(__xludf.dummyfunction("""COMPUTED_VALUE"""),"Теория вероятностей")</f>
        <v>Теория вероятностей</v>
      </c>
      <c r="K87" s="0" t="str">
        <f aca="false">IFERROR(__xludf.dummyfunction("""COMPUTED_VALUE"""),"Да")</f>
        <v>Да</v>
      </c>
      <c r="L87" s="0" t="str">
        <f aca="false">IFERROR(__xludf.dummyfunction("""COMPUTED_VALUE"""),"будет")</f>
        <v>будет</v>
      </c>
      <c r="M87" s="1" t="n">
        <v>1</v>
      </c>
    </row>
    <row r="88" customFormat="false" ht="15.75" hidden="false" customHeight="false" outlineLevel="0" collapsed="false">
      <c r="A88" s="11" t="n">
        <f aca="false">IFERROR(__xludf.dummyfunction("""COMPUTED_VALUE"""),43221.939024213)</f>
        <v>43221.93902</v>
      </c>
      <c r="B88" s="0" t="str">
        <f aca="false">IFERROR(__xludf.dummyfunction("""COMPUTED_VALUE"""),"Бурляев")</f>
        <v>Бурляев</v>
      </c>
      <c r="C88" s="0" t="str">
        <f aca="false">IFERROR(__xludf.dummyfunction("""COMPUTED_VALUE"""),"Илья")</f>
        <v>Илья</v>
      </c>
      <c r="D88" s="0" t="n">
        <f aca="false">IFERROR(__xludf.dummyfunction("""COMPUTED_VALUE"""),7)</f>
        <v>7</v>
      </c>
      <c r="E88" s="0" t="n">
        <f aca="false">IFERROR(__xludf.dummyfunction("""COMPUTED_VALUE"""),117)</f>
        <v>117</v>
      </c>
      <c r="G88" s="12" t="str">
        <f aca="false">IFERROR(__xludf.dummyfunction("""COMPUTED_VALUE"""),"vk.com/id152267404")</f>
        <v>vk.com/id152267404</v>
      </c>
      <c r="H88" s="0" t="str">
        <f aca="false">IFERROR(__xludf.dummyfunction("""COMPUTED_VALUE"""),"ilya1burlyaev@mail.ru")</f>
        <v>ilya1burlyaev@mail.ru</v>
      </c>
      <c r="I88" s="0" t="str">
        <f aca="false">IFERROR(__xludf.dummyfunction("""COMPUTED_VALUE"""),"Введение в роль элитных противостояний в истории")</f>
        <v>Введение в роль элитных противостояний в истории</v>
      </c>
      <c r="J88" s="0" t="str">
        <f aca="false">IFERROR(__xludf.dummyfunction("""COMPUTED_VALUE"""),"Введение в российское право")</f>
        <v>Введение в российское право</v>
      </c>
      <c r="K88" s="0" t="str">
        <f aca="false">IFERROR(__xludf.dummyfunction("""COMPUTED_VALUE"""),"Нет")</f>
        <v>Нет</v>
      </c>
      <c r="L88" s="0" t="str">
        <f aca="false">IFERROR(__xludf.dummyfunction("""COMPUTED_VALUE"""),"будет")</f>
        <v>будет</v>
      </c>
      <c r="M88" s="1" t="n">
        <v>1</v>
      </c>
    </row>
    <row r="89" customFormat="false" ht="15.75" hidden="false" customHeight="false" outlineLevel="0" collapsed="false">
      <c r="A89" s="11" t="n">
        <f aca="false">IFERROR(__xludf.dummyfunction("""COMPUTED_VALUE"""),43222.3696486574)</f>
        <v>43222.36965</v>
      </c>
      <c r="B89" s="0" t="str">
        <f aca="false">IFERROR(__xludf.dummyfunction("""COMPUTED_VALUE"""),"Мельник")</f>
        <v>Мельник</v>
      </c>
      <c r="C89" s="0" t="str">
        <f aca="false">IFERROR(__xludf.dummyfunction("""COMPUTED_VALUE"""),"Диана")</f>
        <v>Диана</v>
      </c>
      <c r="D89" s="0" t="n">
        <f aca="false">IFERROR(__xludf.dummyfunction("""COMPUTED_VALUE"""),8)</f>
        <v>8</v>
      </c>
      <c r="E89" s="0" t="n">
        <f aca="false">IFERROR(__xludf.dummyfunction("""COMPUTED_VALUE"""),117)</f>
        <v>117</v>
      </c>
      <c r="G89" s="12" t="str">
        <f aca="false">IFERROR(__xludf.dummyfunction("""COMPUTED_VALUE"""),"vk.com/diamelnik")</f>
        <v>vk.com/diamelnik</v>
      </c>
      <c r="H89" s="0" t="str">
        <f aca="false">IFERROR(__xludf.dummyfunction("""COMPUTED_VALUE"""),"dia.84@mail.ru")</f>
        <v>dia.84@mail.ru</v>
      </c>
      <c r="I89" s="0" t="str">
        <f aca="false">IFERROR(__xludf.dummyfunction("""COMPUTED_VALUE"""),"Введение в анализ данных")</f>
        <v>Введение в анализ данных</v>
      </c>
      <c r="J89" s="0" t="str">
        <f aca="false">IFERROR(__xludf.dummyfunction("""COMPUTED_VALUE"""),"Экономическое мышление и никакой математики!")</f>
        <v>Экономическое мышление и никакой математики!</v>
      </c>
      <c r="K89" s="0" t="str">
        <f aca="false">IFERROR(__xludf.dummyfunction("""COMPUTED_VALUE"""),"Нет")</f>
        <v>Нет</v>
      </c>
      <c r="L89" s="0" t="str">
        <f aca="false">IFERROR(__xludf.dummyfunction("""COMPUTED_VALUE"""),"будет")</f>
        <v>будет</v>
      </c>
    </row>
    <row r="90" customFormat="false" ht="15.75" hidden="false" customHeight="false" outlineLevel="0" collapsed="false">
      <c r="A90" s="11" t="n">
        <f aca="false">IFERROR(__xludf.dummyfunction("""COMPUTED_VALUE"""),43222.4018072106)</f>
        <v>43222.40181</v>
      </c>
      <c r="B90" s="0" t="str">
        <f aca="false">IFERROR(__xludf.dummyfunction("""COMPUTED_VALUE"""),"Малиновский")</f>
        <v>Малиновский</v>
      </c>
      <c r="C90" s="0" t="str">
        <f aca="false">IFERROR(__xludf.dummyfunction("""COMPUTED_VALUE"""),"Илья")</f>
        <v>Илья</v>
      </c>
      <c r="D90" s="0" t="n">
        <f aca="false">IFERROR(__xludf.dummyfunction("""COMPUTED_VALUE"""),10)</f>
        <v>10</v>
      </c>
      <c r="E90" s="0" t="n">
        <f aca="false">IFERROR(__xludf.dummyfunction("""COMPUTED_VALUE"""),117)</f>
        <v>117</v>
      </c>
      <c r="G90" s="12" t="str">
        <f aca="false">IFERROR(__xludf.dummyfunction("""COMPUTED_VALUE"""),"vk.com/id112552816")</f>
        <v>vk.com/id112552816</v>
      </c>
      <c r="H90" s="0" t="str">
        <f aca="false">IFERROR(__xludf.dummyfunction("""COMPUTED_VALUE"""),"ilya.21062001@gmail.com")</f>
        <v>ilya.21062001@gmail.com</v>
      </c>
      <c r="I90" s="0" t="str">
        <f aca="false">IFERROR(__xludf.dummyfunction("""COMPUTED_VALUE"""),"Введение в анализ данных")</f>
        <v>Введение в анализ данных</v>
      </c>
      <c r="J90" s="0" t="str">
        <f aca="false">IFERROR(__xludf.dummyfunction("""COMPUTED_VALUE"""),"Олимпиадное программирование")</f>
        <v>Олимпиадное программирование</v>
      </c>
      <c r="K90" s="0" t="str">
        <f aca="false">IFERROR(__xludf.dummyfunction("""COMPUTED_VALUE"""),"Нет")</f>
        <v>Нет</v>
      </c>
      <c r="L90" s="0" t="str">
        <f aca="false">IFERROR(__xludf.dummyfunction("""COMPUTED_VALUE"""),"будет")</f>
        <v>будет</v>
      </c>
    </row>
    <row r="91" customFormat="false" ht="15.75" hidden="false" customHeight="false" outlineLevel="0" collapsed="false">
      <c r="A91" s="11" t="n">
        <f aca="false">IFERROR(__xludf.dummyfunction("""COMPUTED_VALUE"""),43222.4118043866)</f>
        <v>43222.4118</v>
      </c>
      <c r="B91" s="0" t="str">
        <f aca="false">IFERROR(__xludf.dummyfunction("""COMPUTED_VALUE"""),"Братухина")</f>
        <v>Братухина</v>
      </c>
      <c r="C91" s="0" t="str">
        <f aca="false">IFERROR(__xludf.dummyfunction("""COMPUTED_VALUE"""),"Альбина")</f>
        <v>Альбина</v>
      </c>
      <c r="D91" s="0" t="n">
        <f aca="false">IFERROR(__xludf.dummyfunction("""COMPUTED_VALUE"""),9)</f>
        <v>9</v>
      </c>
      <c r="E91" s="0" t="n">
        <f aca="false">IFERROR(__xludf.dummyfunction("""COMPUTED_VALUE"""),139)</f>
        <v>139</v>
      </c>
      <c r="G91" s="0" t="str">
        <f aca="false">IFERROR(__xludf.dummyfunction("""COMPUTED_VALUE"""),"Нет")</f>
        <v>Нет</v>
      </c>
      <c r="H91" s="0" t="str">
        <f aca="false">IFERROR(__xludf.dummyfunction("""COMPUTED_VALUE"""),"al-brat@mail.ru")</f>
        <v>al-brat@mail.ru</v>
      </c>
      <c r="I91" s="0" t="str">
        <f aca="false">IFERROR(__xludf.dummyfunction("""COMPUTED_VALUE"""),"Введение в анализ данных")</f>
        <v>Введение в анализ данных</v>
      </c>
      <c r="J91" s="0" t="str">
        <f aca="false">IFERROR(__xludf.dummyfunction("""COMPUTED_VALUE"""),"Олимпиадная математика")</f>
        <v>Олимпиадная математика</v>
      </c>
      <c r="K91" s="0" t="str">
        <f aca="false">IFERROR(__xludf.dummyfunction("""COMPUTED_VALUE"""),"Нет")</f>
        <v>Нет</v>
      </c>
      <c r="L91" s="0" t="str">
        <f aca="false">IFERROR(__xludf.dummyfunction("""COMPUTED_VALUE"""),"будет")</f>
        <v>будет</v>
      </c>
    </row>
    <row r="92" customFormat="false" ht="15.75" hidden="false" customHeight="false" outlineLevel="0" collapsed="false">
      <c r="A92" s="11" t="n">
        <f aca="false">IFERROR(__xludf.dummyfunction("""COMPUTED_VALUE"""),43222.4124764931)</f>
        <v>43222.41248</v>
      </c>
      <c r="B92" s="0" t="str">
        <f aca="false">IFERROR(__xludf.dummyfunction("""COMPUTED_VALUE"""),"Константинова ")</f>
        <v>Константинова</v>
      </c>
      <c r="C92" s="0" t="str">
        <f aca="false">IFERROR(__xludf.dummyfunction("""COMPUTED_VALUE"""),"Екатерина ")</f>
        <v>Екатерина</v>
      </c>
      <c r="D92" s="0" t="n">
        <f aca="false">IFERROR(__xludf.dummyfunction("""COMPUTED_VALUE"""),9)</f>
        <v>9</v>
      </c>
      <c r="E92" s="0" t="n">
        <f aca="false">IFERROR(__xludf.dummyfunction("""COMPUTED_VALUE"""),139)</f>
        <v>139</v>
      </c>
      <c r="G92" s="12" t="str">
        <f aca="false">IFERROR(__xludf.dummyfunction("""COMPUTED_VALUE"""),"vk.com/alinasavchenko0")</f>
        <v>vk.com/alinasavchenko0</v>
      </c>
      <c r="H92" s="0" t="str">
        <f aca="false">IFERROR(__xludf.dummyfunction("""COMPUTED_VALUE"""),"ekatty02@mail.ru")</f>
        <v>ekatty02@mail.ru</v>
      </c>
      <c r="I92" s="0" t="str">
        <f aca="false">IFERROR(__xludf.dummyfunction("""COMPUTED_VALUE"""),"Олимпиадная математика")</f>
        <v>Олимпиадная математика</v>
      </c>
      <c r="J92" s="0" t="str">
        <f aca="false">IFERROR(__xludf.dummyfunction("""COMPUTED_VALUE"""),"Олимпиадная математика")</f>
        <v>Олимпиадная математика</v>
      </c>
      <c r="K92" s="0" t="str">
        <f aca="false">IFERROR(__xludf.dummyfunction("""COMPUTED_VALUE"""),"Нет")</f>
        <v>Нет</v>
      </c>
      <c r="L92" s="0" t="str">
        <f aca="false">IFERROR(__xludf.dummyfunction("""COMPUTED_VALUE"""),"будет")</f>
        <v>будет</v>
      </c>
      <c r="M92" s="1" t="n">
        <v>1</v>
      </c>
    </row>
    <row r="93" customFormat="false" ht="15.75" hidden="false" customHeight="false" outlineLevel="0" collapsed="false">
      <c r="A93" s="11" t="n">
        <f aca="false">IFERROR(__xludf.dummyfunction("""COMPUTED_VALUE"""),43222.4563204398)</f>
        <v>43222.45632</v>
      </c>
      <c r="B93" s="0" t="str">
        <f aca="false">IFERROR(__xludf.dummyfunction("""COMPUTED_VALUE"""),"Савиных ")</f>
        <v>Савиных</v>
      </c>
      <c r="C93" s="0" t="str">
        <f aca="false">IFERROR(__xludf.dummyfunction("""COMPUTED_VALUE"""),"Кристина ")</f>
        <v>Кристина</v>
      </c>
      <c r="D93" s="0" t="n">
        <f aca="false">IFERROR(__xludf.dummyfunction("""COMPUTED_VALUE"""),8)</f>
        <v>8</v>
      </c>
      <c r="E93" s="0" t="n">
        <f aca="false">IFERROR(__xludf.dummyfunction("""COMPUTED_VALUE"""),139)</f>
        <v>139</v>
      </c>
      <c r="G93" s="12" t="str">
        <f aca="false">IFERROR(__xludf.dummyfunction("""COMPUTED_VALUE"""),"vk.com/id252385302")</f>
        <v>vk.com/id252385302</v>
      </c>
      <c r="H93" s="0" t="str">
        <f aca="false">IFERROR(__xludf.dummyfunction("""COMPUTED_VALUE"""),"cuteunicorn2413@gmail.com")</f>
        <v>cuteunicorn2413@gmail.com</v>
      </c>
      <c r="I93" s="0" t="str">
        <f aca="false">IFERROR(__xludf.dummyfunction("""COMPUTED_VALUE"""),"Международное право")</f>
        <v>Международное право</v>
      </c>
      <c r="J93" s="0" t="str">
        <f aca="false">IFERROR(__xludf.dummyfunction("""COMPUTED_VALUE"""),"Введение в роль элитных противостояний в истории")</f>
        <v>Введение в роль элитных противостояний в истории</v>
      </c>
      <c r="K93" s="0" t="str">
        <f aca="false">IFERROR(__xludf.dummyfunction("""COMPUTED_VALUE"""),"Нет")</f>
        <v>Нет</v>
      </c>
      <c r="L93" s="0" t="str">
        <f aca="false">IFERROR(__xludf.dummyfunction("""COMPUTED_VALUE"""),"будет")</f>
        <v>будет</v>
      </c>
    </row>
    <row r="94" customFormat="false" ht="15.75" hidden="false" customHeight="false" outlineLevel="0" collapsed="false">
      <c r="A94" s="11" t="n">
        <f aca="false">IFERROR(__xludf.dummyfunction("""COMPUTED_VALUE"""),43222.6095442477)</f>
        <v>43222.60954</v>
      </c>
      <c r="B94" s="0" t="str">
        <f aca="false">IFERROR(__xludf.dummyfunction("""COMPUTED_VALUE"""),"Терехова ")</f>
        <v>Терехова</v>
      </c>
      <c r="C94" s="0" t="str">
        <f aca="false">IFERROR(__xludf.dummyfunction("""COMPUTED_VALUE"""),"Мария")</f>
        <v>Мария</v>
      </c>
      <c r="D94" s="0" t="n">
        <f aca="false">IFERROR(__xludf.dummyfunction("""COMPUTED_VALUE"""),8)</f>
        <v>8</v>
      </c>
      <c r="E94" s="0" t="n">
        <f aca="false">IFERROR(__xludf.dummyfunction("""COMPUTED_VALUE"""),139)</f>
        <v>139</v>
      </c>
      <c r="G94" s="12" t="str">
        <f aca="false">IFERROR(__xludf.dummyfunction("""COMPUTED_VALUE"""),"vk.com/id318731608")</f>
        <v>vk.com/id318731608</v>
      </c>
      <c r="H94" s="0" t="str">
        <f aca="false">IFERROR(__xludf.dummyfunction("""COMPUTED_VALUE"""),"sonofthenight7@mail.ru")</f>
        <v>sonofthenight7@mail.ru</v>
      </c>
      <c r="I94" s="0" t="str">
        <f aca="false">IFERROR(__xludf.dummyfunction("""COMPUTED_VALUE"""),"Теория игр")</f>
        <v>Теория игр</v>
      </c>
      <c r="J94" s="0" t="str">
        <f aca="false">IFERROR(__xludf.dummyfunction("""COMPUTED_VALUE"""),"Олимпиадная математика")</f>
        <v>Олимпиадная математика</v>
      </c>
      <c r="K94" s="0" t="str">
        <f aca="false">IFERROR(__xludf.dummyfunction("""COMPUTED_VALUE"""),"Нет")</f>
        <v>Нет</v>
      </c>
      <c r="L94" s="0" t="str">
        <f aca="false">IFERROR(__xludf.dummyfunction("""COMPUTED_VALUE"""),"будет")</f>
        <v>будет</v>
      </c>
    </row>
    <row r="95" customFormat="false" ht="15.75" hidden="false" customHeight="false" outlineLevel="0" collapsed="false">
      <c r="A95" s="11" t="n">
        <f aca="false">IFERROR(__xludf.dummyfunction("""COMPUTED_VALUE"""),43222.7747455903)</f>
        <v>43222.77475</v>
      </c>
      <c r="B95" s="0" t="str">
        <f aca="false">IFERROR(__xludf.dummyfunction("""COMPUTED_VALUE"""),"Макарова")</f>
        <v>Макарова</v>
      </c>
      <c r="C95" s="0" t="str">
        <f aca="false">IFERROR(__xludf.dummyfunction("""COMPUTED_VALUE"""),"Елизавета")</f>
        <v>Елизавета</v>
      </c>
      <c r="D95" s="0" t="n">
        <f aca="false">IFERROR(__xludf.dummyfunction("""COMPUTED_VALUE"""),8)</f>
        <v>8</v>
      </c>
      <c r="E95" s="0" t="n">
        <f aca="false">IFERROR(__xludf.dummyfunction("""COMPUTED_VALUE"""),139)</f>
        <v>139</v>
      </c>
      <c r="G95" s="12" t="str">
        <f aca="false">IFERROR(__xludf.dummyfunction("""COMPUTED_VALUE"""),"vk.com/elimaksi")</f>
        <v>vk.com/elimaksi</v>
      </c>
      <c r="H95" s="0" t="str">
        <f aca="false">IFERROR(__xludf.dummyfunction("""COMPUTED_VALUE"""),"elimaksi@bk.ru")</f>
        <v>elimaksi@bk.ru</v>
      </c>
      <c r="I95" s="0" t="str">
        <f aca="false">IFERROR(__xludf.dummyfunction("""COMPUTED_VALUE"""),"Биология")</f>
        <v>Биология</v>
      </c>
      <c r="J95" s="0" t="str">
        <f aca="false">IFERROR(__xludf.dummyfunction("""COMPUTED_VALUE"""),"Олимпиадная химия")</f>
        <v>Олимпиадная химия</v>
      </c>
      <c r="K95" s="0" t="str">
        <f aca="false">IFERROR(__xludf.dummyfunction("""COMPUTED_VALUE"""),"Нет")</f>
        <v>Нет</v>
      </c>
      <c r="L95" s="0" t="str">
        <f aca="false">IFERROR(__xludf.dummyfunction("""COMPUTED_VALUE"""),"будет")</f>
        <v>будет</v>
      </c>
      <c r="M95" s="1" t="n">
        <v>1</v>
      </c>
    </row>
    <row r="96" customFormat="false" ht="15.75" hidden="false" customHeight="false" outlineLevel="0" collapsed="false">
      <c r="A96" s="11" t="n">
        <f aca="false">IFERROR(__xludf.dummyfunction("""COMPUTED_VALUE"""),43223.536213125)</f>
        <v>43223.53621</v>
      </c>
      <c r="B96" s="0" t="str">
        <f aca="false">IFERROR(__xludf.dummyfunction("""COMPUTED_VALUE"""),"Трофимова")</f>
        <v>Трофимова</v>
      </c>
      <c r="C96" s="0" t="str">
        <f aca="false">IFERROR(__xludf.dummyfunction("""COMPUTED_VALUE"""),"Алиса")</f>
        <v>Алиса</v>
      </c>
      <c r="D96" s="0" t="n">
        <f aca="false">IFERROR(__xludf.dummyfunction("""COMPUTED_VALUE"""),10)</f>
        <v>10</v>
      </c>
      <c r="E96" s="0" t="n">
        <f aca="false">IFERROR(__xludf.dummyfunction("""COMPUTED_VALUE"""),149)</f>
        <v>149</v>
      </c>
      <c r="G96" s="12" t="str">
        <f aca="false">IFERROR(__xludf.dummyfunction("""COMPUTED_VALUE"""),"vk.com/id171242575")</f>
        <v>vk.com/id171242575</v>
      </c>
      <c r="H96" s="0" t="str">
        <f aca="false">IFERROR(__xludf.dummyfunction("""COMPUTED_VALUE"""),"alisa28012001@gmail.com")</f>
        <v>alisa28012001@gmail.com</v>
      </c>
      <c r="I96" s="0" t="str">
        <f aca="false">IFERROR(__xludf.dummyfunction("""COMPUTED_VALUE"""),"Международное право")</f>
        <v>Международное право</v>
      </c>
      <c r="J96" s="0" t="str">
        <f aca="false">IFERROR(__xludf.dummyfunction("""COMPUTED_VALUE"""),"Экономическое мышление и никакой математики!")</f>
        <v>Экономическое мышление и никакой математики!</v>
      </c>
      <c r="K96" s="0" t="str">
        <f aca="false">IFERROR(__xludf.dummyfunction("""COMPUTED_VALUE"""),"Нет")</f>
        <v>Нет</v>
      </c>
      <c r="L96" s="0" t="str">
        <f aca="false">IFERROR(__xludf.dummyfunction("""COMPUTED_VALUE"""),"будет")</f>
        <v>будет</v>
      </c>
      <c r="M96" s="1" t="n">
        <v>1</v>
      </c>
    </row>
    <row r="97" customFormat="false" ht="15.75" hidden="false" customHeight="false" outlineLevel="0" collapsed="false">
      <c r="A97" s="11" t="n">
        <f aca="false">IFERROR(__xludf.dummyfunction("""COMPUTED_VALUE"""),43223.7215397222)</f>
        <v>43223.72154</v>
      </c>
      <c r="B97" s="0" t="str">
        <f aca="false">IFERROR(__xludf.dummyfunction("""COMPUTED_VALUE"""),"Красных")</f>
        <v>Красных</v>
      </c>
      <c r="C97" s="0" t="str">
        <f aca="false">IFERROR(__xludf.dummyfunction("""COMPUTED_VALUE"""),"Вадим")</f>
        <v>Вадим</v>
      </c>
      <c r="D97" s="0" t="n">
        <f aca="false">IFERROR(__xludf.dummyfunction("""COMPUTED_VALUE"""),9)</f>
        <v>9</v>
      </c>
      <c r="E97" s="0" t="n">
        <f aca="false">IFERROR(__xludf.dummyfunction("""COMPUTED_VALUE"""),117)</f>
        <v>117</v>
      </c>
      <c r="G97" s="12" t="str">
        <f aca="false">IFERROR(__xludf.dummyfunction("""COMPUTED_VALUE"""),"vk.com/idvadichka")</f>
        <v>vk.com/idvadichka</v>
      </c>
      <c r="H97" s="0" t="str">
        <f aca="false">IFERROR(__xludf.dummyfunction("""COMPUTED_VALUE"""),"vadikras@list.ru")</f>
        <v>vadikras@list.ru</v>
      </c>
      <c r="I97" s="0" t="str">
        <f aca="false">IFERROR(__xludf.dummyfunction("""COMPUTED_VALUE"""),"Меня не будет в эту половину")</f>
        <v>Меня не будет в эту половину</v>
      </c>
      <c r="J97" s="0" t="str">
        <f aca="false">IFERROR(__xludf.dummyfunction("""COMPUTED_VALUE"""),"Биология")</f>
        <v>Биология</v>
      </c>
      <c r="K97" s="0" t="str">
        <f aca="false">IFERROR(__xludf.dummyfunction("""COMPUTED_VALUE"""),"Да")</f>
        <v>Да</v>
      </c>
      <c r="L97" s="0" t="str">
        <f aca="false">IFERROR(__xludf.dummyfunction("""COMPUTED_VALUE"""),"будет")</f>
        <v>будет</v>
      </c>
    </row>
    <row r="98" customFormat="false" ht="15.75" hidden="false" customHeight="false" outlineLevel="0" collapsed="false">
      <c r="A98" s="11" t="n">
        <f aca="false">IFERROR(__xludf.dummyfunction("""COMPUTED_VALUE"""),43223.7379862731)</f>
        <v>43223.73799</v>
      </c>
      <c r="B98" s="0" t="str">
        <f aca="false">IFERROR(__xludf.dummyfunction("""COMPUTED_VALUE"""),"Тищенко")</f>
        <v>Тищенко</v>
      </c>
      <c r="C98" s="0" t="str">
        <f aca="false">IFERROR(__xludf.dummyfunction("""COMPUTED_VALUE"""),"Даша")</f>
        <v>Даша</v>
      </c>
      <c r="D98" s="0" t="n">
        <f aca="false">IFERROR(__xludf.dummyfunction("""COMPUTED_VALUE"""),9)</f>
        <v>9</v>
      </c>
      <c r="E98" s="0" t="n">
        <f aca="false">IFERROR(__xludf.dummyfunction("""COMPUTED_VALUE"""),117)</f>
        <v>117</v>
      </c>
      <c r="G98" s="12" t="str">
        <f aca="false">IFERROR(__xludf.dummyfunction("""COMPUTED_VALUE"""),"vk.com/neko_murr")</f>
        <v>vk.com/neko_murr</v>
      </c>
      <c r="H98" s="0" t="str">
        <f aca="false">IFERROR(__xludf.dummyfunction("""COMPUTED_VALUE"""),"dashyni.tish@gmail.com")</f>
        <v>dashyni.tish@gmail.com</v>
      </c>
      <c r="I98" s="0" t="str">
        <f aca="false">IFERROR(__xludf.dummyfunction("""COMPUTED_VALUE"""),"Международное право")</f>
        <v>Международное право</v>
      </c>
      <c r="J98" s="0" t="str">
        <f aca="false">IFERROR(__xludf.dummyfunction("""COMPUTED_VALUE"""),"Введение в российское право")</f>
        <v>Введение в российское право</v>
      </c>
      <c r="K98" s="0" t="str">
        <f aca="false">IFERROR(__xludf.dummyfunction("""COMPUTED_VALUE"""),"Да")</f>
        <v>Да</v>
      </c>
      <c r="L98" s="0" t="str">
        <f aca="false">IFERROR(__xludf.dummyfunction("""COMPUTED_VALUE"""),"будет")</f>
        <v>будет</v>
      </c>
    </row>
    <row r="99" customFormat="false" ht="15.75" hidden="false" customHeight="false" outlineLevel="0" collapsed="false">
      <c r="A99" s="11" t="n">
        <f aca="false">IFERROR(__xludf.dummyfunction("""COMPUTED_VALUE"""),43223.7421923032)</f>
        <v>43223.74219</v>
      </c>
      <c r="B99" s="0" t="str">
        <f aca="false">IFERROR(__xludf.dummyfunction("""COMPUTED_VALUE"""),"Яковлева")</f>
        <v>Яковлева</v>
      </c>
      <c r="C99" s="0" t="str">
        <f aca="false">IFERROR(__xludf.dummyfunction("""COMPUTED_VALUE"""),"Евгения")</f>
        <v>Евгения</v>
      </c>
      <c r="D99" s="0" t="n">
        <f aca="false">IFERROR(__xludf.dummyfunction("""COMPUTED_VALUE"""),9)</f>
        <v>9</v>
      </c>
      <c r="E99" s="0" t="n">
        <f aca="false">IFERROR(__xludf.dummyfunction("""COMPUTED_VALUE"""),166)</f>
        <v>166</v>
      </c>
      <c r="G99" s="12" t="str">
        <f aca="false">IFERROR(__xludf.dummyfunction("""COMPUTED_VALUE"""),"vk.com/id324373436")</f>
        <v>vk.com/id324373436</v>
      </c>
      <c r="H99" s="0" t="str">
        <f aca="false">IFERROR(__xludf.dummyfunction("""COMPUTED_VALUE"""),"yakovleva-evgenia@list.ru")</f>
        <v>yakovleva-evgenia@list.ru</v>
      </c>
      <c r="I99" s="0" t="str">
        <f aca="false">IFERROR(__xludf.dummyfunction("""COMPUTED_VALUE"""),"Введение в роль элитных противостояний в истории")</f>
        <v>Введение в роль элитных противостояний в истории</v>
      </c>
      <c r="J99" s="0" t="str">
        <f aca="false">IFERROR(__xludf.dummyfunction("""COMPUTED_VALUE"""),"Экономическое мышление и никакой математики!")</f>
        <v>Экономическое мышление и никакой математики!</v>
      </c>
      <c r="K99" s="0" t="str">
        <f aca="false">IFERROR(__xludf.dummyfunction("""COMPUTED_VALUE"""),"Нет")</f>
        <v>Нет</v>
      </c>
      <c r="L99" s="0" t="str">
        <f aca="false">IFERROR(__xludf.dummyfunction("""COMPUTED_VALUE"""),"будет")</f>
        <v>будет</v>
      </c>
      <c r="M99" s="1" t="n">
        <v>1</v>
      </c>
    </row>
    <row r="100" customFormat="false" ht="15.75" hidden="false" customHeight="false" outlineLevel="0" collapsed="false">
      <c r="A100" s="11" t="n">
        <f aca="false">IFERROR(__xludf.dummyfunction("""COMPUTED_VALUE"""),43223.7547053009)</f>
        <v>43223.75471</v>
      </c>
      <c r="B100" s="0" t="str">
        <f aca="false">IFERROR(__xludf.dummyfunction("""COMPUTED_VALUE"""),"Торопов")</f>
        <v>Торопов</v>
      </c>
      <c r="C100" s="0" t="str">
        <f aca="false">IFERROR(__xludf.dummyfunction("""COMPUTED_VALUE"""),"Павел")</f>
        <v>Павел</v>
      </c>
      <c r="D100" s="0" t="n">
        <f aca="false">IFERROR(__xludf.dummyfunction("""COMPUTED_VALUE"""),9)</f>
        <v>9</v>
      </c>
      <c r="E100" s="0" t="n">
        <f aca="false">IFERROR(__xludf.dummyfunction("""COMPUTED_VALUE"""),117)</f>
        <v>117</v>
      </c>
      <c r="G100" s="12" t="str">
        <f aca="false">IFERROR(__xludf.dummyfunction("""COMPUTED_VALUE"""),"vk.com/avstralo_pitek")</f>
        <v>vk.com/avstralo_pitek</v>
      </c>
      <c r="H100" s="0" t="str">
        <f aca="false">IFERROR(__xludf.dummyfunction("""COMPUTED_VALUE"""),"ptoropov02@mail.ru")</f>
        <v>ptoropov02@mail.ru</v>
      </c>
      <c r="I100" s="0" t="str">
        <f aca="false">IFERROR(__xludf.dummyfunction("""COMPUTED_VALUE"""),"Олимпиадная химия")</f>
        <v>Олимпиадная химия</v>
      </c>
      <c r="J100" s="0" t="str">
        <f aca="false">IFERROR(__xludf.dummyfunction("""COMPUTED_VALUE"""),"Олимпиадная химия")</f>
        <v>Олимпиадная химия</v>
      </c>
      <c r="K100" s="0" t="str">
        <f aca="false">IFERROR(__xludf.dummyfunction("""COMPUTED_VALUE"""),"Нет")</f>
        <v>Нет</v>
      </c>
      <c r="L100" s="0" t="str">
        <f aca="false">IFERROR(__xludf.dummyfunction("""COMPUTED_VALUE"""),"будет")</f>
        <v>будет</v>
      </c>
      <c r="M100" s="1" t="n">
        <v>1</v>
      </c>
    </row>
    <row r="101" customFormat="false" ht="15.75" hidden="false" customHeight="false" outlineLevel="0" collapsed="false">
      <c r="A101" s="11" t="n">
        <f aca="false">IFERROR(__xludf.dummyfunction("""COMPUTED_VALUE"""),43223.7593068056)</f>
        <v>43223.75931</v>
      </c>
      <c r="B101" s="0" t="str">
        <f aca="false">IFERROR(__xludf.dummyfunction("""COMPUTED_VALUE"""),"Глинская")</f>
        <v>Глинская</v>
      </c>
      <c r="C101" s="0" t="str">
        <f aca="false">IFERROR(__xludf.dummyfunction("""COMPUTED_VALUE"""),"Таисия")</f>
        <v>Таисия</v>
      </c>
      <c r="D101" s="0" t="n">
        <f aca="false">IFERROR(__xludf.dummyfunction("""COMPUTED_VALUE"""),9)</f>
        <v>9</v>
      </c>
      <c r="E101" s="0" t="n">
        <f aca="false">IFERROR(__xludf.dummyfunction("""COMPUTED_VALUE"""),117)</f>
        <v>117</v>
      </c>
      <c r="G101" s="12" t="str">
        <f aca="false">IFERROR(__xludf.dummyfunction("""COMPUTED_VALUE"""),"vk.com/id200827263")</f>
        <v>vk.com/id200827263</v>
      </c>
      <c r="H101" s="0" t="str">
        <f aca="false">IFERROR(__xludf.dummyfunction("""COMPUTED_VALUE"""),"tasia-rabbit@yandex.ru")</f>
        <v>tasia-rabbit@yandex.ru</v>
      </c>
      <c r="I101" s="0" t="str">
        <f aca="false">IFERROR(__xludf.dummyfunction("""COMPUTED_VALUE"""),"Олимпиадная химия")</f>
        <v>Олимпиадная химия</v>
      </c>
      <c r="J101" s="0" t="str">
        <f aca="false">IFERROR(__xludf.dummyfunction("""COMPUTED_VALUE"""),"Олимпиадная химия")</f>
        <v>Олимпиадная химия</v>
      </c>
      <c r="K101" s="0" t="str">
        <f aca="false">IFERROR(__xludf.dummyfunction("""COMPUTED_VALUE"""),"Нет")</f>
        <v>Нет</v>
      </c>
      <c r="L101" s="0" t="str">
        <f aca="false">IFERROR(__xludf.dummyfunction("""COMPUTED_VALUE"""),"будет")</f>
        <v>будет</v>
      </c>
    </row>
    <row r="102" customFormat="false" ht="15.75" hidden="false" customHeight="false" outlineLevel="0" collapsed="false">
      <c r="A102" s="11" t="n">
        <f aca="false">IFERROR(__xludf.dummyfunction("""COMPUTED_VALUE"""),43223.7625038657)</f>
        <v>43223.7625</v>
      </c>
      <c r="B102" s="0" t="str">
        <f aca="false">IFERROR(__xludf.dummyfunction("""COMPUTED_VALUE"""),"Лапаницына")</f>
        <v>Лапаницына</v>
      </c>
      <c r="C102" s="0" t="str">
        <f aca="false">IFERROR(__xludf.dummyfunction("""COMPUTED_VALUE"""),"Анна")</f>
        <v>Анна</v>
      </c>
      <c r="D102" s="0" t="n">
        <f aca="false">IFERROR(__xludf.dummyfunction("""COMPUTED_VALUE"""),7)</f>
        <v>7</v>
      </c>
      <c r="E102" s="0" t="n">
        <f aca="false">IFERROR(__xludf.dummyfunction("""COMPUTED_VALUE"""),137)</f>
        <v>137</v>
      </c>
      <c r="F102" s="0" t="str">
        <f aca="false">IFERROR(__xludf.dummyfunction("""COMPUTED_VALUE"""),"Вероятнее всего, не смогу оставаться на внеучебные мероприятия в некоторые дни, т.к. хожу на плавание.")</f>
        <v>Вероятнее всего, не смогу оставаться на внеучебные мероприятия в некоторые дни, т.к. хожу на плавание.</v>
      </c>
      <c r="G102" s="12" t="str">
        <f aca="false">IFERROR(__xludf.dummyfunction("""COMPUTED_VALUE"""),"vk.com/byheart_chaika")</f>
        <v>vk.com/byheart_chaika</v>
      </c>
      <c r="H102" s="0" t="str">
        <f aca="false">IFERROR(__xludf.dummyfunction("""COMPUTED_VALUE"""),"anna.lapachka@gmail.com")</f>
        <v>anna.lapachka@gmail.com</v>
      </c>
      <c r="I102" s="0" t="str">
        <f aca="false">IFERROR(__xludf.dummyfunction("""COMPUTED_VALUE"""),"Введение в роль элитных противостояний в истории")</f>
        <v>Введение в роль элитных противостояний в истории</v>
      </c>
      <c r="J102" s="0" t="str">
        <f aca="false">IFERROR(__xludf.dummyfunction("""COMPUTED_VALUE"""),"Олимпиадная математика")</f>
        <v>Олимпиадная математика</v>
      </c>
      <c r="K102" s="0" t="str">
        <f aca="false">IFERROR(__xludf.dummyfunction("""COMPUTED_VALUE"""),"Нет")</f>
        <v>Нет</v>
      </c>
      <c r="L102" s="0" t="str">
        <f aca="false">IFERROR(__xludf.dummyfunction("""COMPUTED_VALUE"""),"будет")</f>
        <v>будет</v>
      </c>
      <c r="M102" s="1" t="n">
        <v>1</v>
      </c>
    </row>
    <row r="103" customFormat="false" ht="15.75" hidden="false" customHeight="false" outlineLevel="0" collapsed="false">
      <c r="A103" s="11" t="n">
        <f aca="false">IFERROR(__xludf.dummyfunction("""COMPUTED_VALUE"""),43223.7627728241)</f>
        <v>43223.76277</v>
      </c>
      <c r="B103" s="0" t="str">
        <f aca="false">IFERROR(__xludf.dummyfunction("""COMPUTED_VALUE"""),"Деркач")</f>
        <v>Деркач</v>
      </c>
      <c r="C103" s="0" t="str">
        <f aca="false">IFERROR(__xludf.dummyfunction("""COMPUTED_VALUE"""),"Александра")</f>
        <v>Александра</v>
      </c>
      <c r="D103" s="0" t="n">
        <f aca="false">IFERROR(__xludf.dummyfunction("""COMPUTED_VALUE"""),8)</f>
        <v>8</v>
      </c>
      <c r="E103" s="0" t="n">
        <f aca="false">IFERROR(__xludf.dummyfunction("""COMPUTED_VALUE"""),117)</f>
        <v>117</v>
      </c>
      <c r="G103" s="12" t="str">
        <f aca="false">IFERROR(__xludf.dummyfunction("""COMPUTED_VALUE"""),"vk.com/aderkach2017")</f>
        <v>vk.com/aderkach2017</v>
      </c>
      <c r="H103" s="0" t="str">
        <f aca="false">IFERROR(__xludf.dummyfunction("""COMPUTED_VALUE"""),"xenia_derkach@mail.ru")</f>
        <v>xenia_derkach@mail.ru</v>
      </c>
      <c r="I103" s="0" t="str">
        <f aca="false">IFERROR(__xludf.dummyfunction("""COMPUTED_VALUE"""),"Международное право")</f>
        <v>Международное право</v>
      </c>
      <c r="J103" s="0" t="str">
        <f aca="false">IFERROR(__xludf.dummyfunction("""COMPUTED_VALUE"""),"Теория вероятностей")</f>
        <v>Теория вероятностей</v>
      </c>
      <c r="K103" s="0" t="str">
        <f aca="false">IFERROR(__xludf.dummyfunction("""COMPUTED_VALUE"""),"Да")</f>
        <v>Да</v>
      </c>
      <c r="L103" s="0" t="str">
        <f aca="false">IFERROR(__xludf.dummyfunction("""COMPUTED_VALUE"""),"будет")</f>
        <v>будет</v>
      </c>
    </row>
    <row r="104" customFormat="false" ht="15.75" hidden="false" customHeight="false" outlineLevel="0" collapsed="false">
      <c r="A104" s="11" t="n">
        <f aca="false">IFERROR(__xludf.dummyfunction("""COMPUTED_VALUE"""),43223.7632475232)</f>
        <v>43223.76325</v>
      </c>
      <c r="B104" s="0" t="str">
        <f aca="false">IFERROR(__xludf.dummyfunction("""COMPUTED_VALUE"""),"Папакина")</f>
        <v>Папакина</v>
      </c>
      <c r="C104" s="0" t="str">
        <f aca="false">IFERROR(__xludf.dummyfunction("""COMPUTED_VALUE"""),"Софья")</f>
        <v>Софья</v>
      </c>
      <c r="D104" s="0" t="n">
        <f aca="false">IFERROR(__xludf.dummyfunction("""COMPUTED_VALUE"""),9)</f>
        <v>9</v>
      </c>
      <c r="E104" s="0" t="n">
        <f aca="false">IFERROR(__xludf.dummyfunction("""COMPUTED_VALUE"""),117)</f>
        <v>117</v>
      </c>
      <c r="G104" s="12" t="str">
        <f aca="false">IFERROR(__xludf.dummyfunction("""COMPUTED_VALUE"""),"vk.com/s.papakina")</f>
        <v>vk.com/s.papakina</v>
      </c>
      <c r="H104" s="0" t="str">
        <f aca="false">IFERROR(__xludf.dummyfunction("""COMPUTED_VALUE"""),"spapakina@bk.ru")</f>
        <v>spapakina@bk.ru</v>
      </c>
      <c r="I104" s="0" t="str">
        <f aca="false">IFERROR(__xludf.dummyfunction("""COMPUTED_VALUE"""),"Международное право")</f>
        <v>Международное право</v>
      </c>
      <c r="J104" s="0" t="str">
        <f aca="false">IFERROR(__xludf.dummyfunction("""COMPUTED_VALUE"""),"Введение в российское право")</f>
        <v>Введение в российское право</v>
      </c>
      <c r="K104" s="0" t="str">
        <f aca="false">IFERROR(__xludf.dummyfunction("""COMPUTED_VALUE"""),"Нет")</f>
        <v>Нет</v>
      </c>
      <c r="L104" s="0" t="str">
        <f aca="false">IFERROR(__xludf.dummyfunction("""COMPUTED_VALUE"""),"будет")</f>
        <v>будет</v>
      </c>
    </row>
    <row r="105" customFormat="false" ht="15.75" hidden="false" customHeight="false" outlineLevel="0" collapsed="false">
      <c r="A105" s="11" t="n">
        <f aca="false">IFERROR(__xludf.dummyfunction("""COMPUTED_VALUE"""),43223.776583588)</f>
        <v>43223.77658</v>
      </c>
      <c r="B105" s="0" t="str">
        <f aca="false">IFERROR(__xludf.dummyfunction("""COMPUTED_VALUE"""),"Протазанова")</f>
        <v>Протазанова</v>
      </c>
      <c r="C105" s="0" t="str">
        <f aca="false">IFERROR(__xludf.dummyfunction("""COMPUTED_VALUE"""),"Ольга")</f>
        <v>Ольга</v>
      </c>
      <c r="D105" s="0" t="n">
        <f aca="false">IFERROR(__xludf.dummyfunction("""COMPUTED_VALUE"""),9)</f>
        <v>9</v>
      </c>
      <c r="E105" s="0" t="n">
        <f aca="false">IFERROR(__xludf.dummyfunction("""COMPUTED_VALUE"""),36)</f>
        <v>36</v>
      </c>
      <c r="G105" s="12" t="str">
        <f aca="false">IFERROR(__xludf.dummyfunction("""COMPUTED_VALUE"""),"vk.com/olya.protazanova")</f>
        <v>vk.com/olya.protazanova</v>
      </c>
      <c r="H105" s="0" t="str">
        <f aca="false">IFERROR(__xludf.dummyfunction("""COMPUTED_VALUE"""),"olya.protazanova@mail.ru")</f>
        <v>olya.protazanova@mail.ru</v>
      </c>
      <c r="I105" s="0" t="str">
        <f aca="false">IFERROR(__xludf.dummyfunction("""COMPUTED_VALUE"""),"Матричная оптика")</f>
        <v>Матричная оптика</v>
      </c>
      <c r="J105" s="0" t="str">
        <f aca="false">IFERROR(__xludf.dummyfunction("""COMPUTED_VALUE"""),"Олимпиадная химия")</f>
        <v>Олимпиадная химия</v>
      </c>
      <c r="K105" s="0" t="str">
        <f aca="false">IFERROR(__xludf.dummyfunction("""COMPUTED_VALUE"""),"Нет")</f>
        <v>Нет</v>
      </c>
      <c r="L105" s="0" t="str">
        <f aca="false">IFERROR(__xludf.dummyfunction("""COMPUTED_VALUE"""),"будет")</f>
        <v>будет</v>
      </c>
    </row>
    <row r="106" customFormat="false" ht="15.75" hidden="false" customHeight="false" outlineLevel="0" collapsed="false">
      <c r="A106" s="11" t="n">
        <f aca="false">IFERROR(__xludf.dummyfunction("""COMPUTED_VALUE"""),43223.7955093056)</f>
        <v>43223.79551</v>
      </c>
      <c r="B106" s="0" t="str">
        <f aca="false">IFERROR(__xludf.dummyfunction("""COMPUTED_VALUE"""),"Аркушенко")</f>
        <v>Аркушенко</v>
      </c>
      <c r="C106" s="0" t="str">
        <f aca="false">IFERROR(__xludf.dummyfunction("""COMPUTED_VALUE"""),"Максим")</f>
        <v>Максим</v>
      </c>
      <c r="D106" s="0" t="n">
        <f aca="false">IFERROR(__xludf.dummyfunction("""COMPUTED_VALUE"""),8)</f>
        <v>8</v>
      </c>
      <c r="E106" s="0" t="n">
        <f aca="false">IFERROR(__xludf.dummyfunction("""COMPUTED_VALUE"""),117)</f>
        <v>117</v>
      </c>
      <c r="G106" s="12" t="str">
        <f aca="false">IFERROR(__xludf.dummyfunction("""COMPUTED_VALUE"""),"vk.com/m.arkushenko")</f>
        <v>vk.com/m.arkushenko</v>
      </c>
      <c r="H106" s="0" t="str">
        <f aca="false">IFERROR(__xludf.dummyfunction("""COMPUTED_VALUE"""),"arkushenko2004@mail.ru")</f>
        <v>arkushenko2004@mail.ru</v>
      </c>
      <c r="I106" s="0" t="str">
        <f aca="false">IFERROR(__xludf.dummyfunction("""COMPUTED_VALUE"""),"Олимпиадная математика")</f>
        <v>Олимпиадная математика</v>
      </c>
      <c r="J106" s="0" t="str">
        <f aca="false">IFERROR(__xludf.dummyfunction("""COMPUTED_VALUE"""),"Введение в российское право")</f>
        <v>Введение в российское право</v>
      </c>
      <c r="K106" s="0" t="str">
        <f aca="false">IFERROR(__xludf.dummyfunction("""COMPUTED_VALUE"""),"Да")</f>
        <v>Да</v>
      </c>
      <c r="L106" s="0" t="str">
        <f aca="false">IFERROR(__xludf.dummyfunction("""COMPUTED_VALUE"""),"будет")</f>
        <v>будет</v>
      </c>
      <c r="M106" s="1" t="n">
        <v>1</v>
      </c>
    </row>
    <row r="107" customFormat="false" ht="15.75" hidden="false" customHeight="false" outlineLevel="0" collapsed="false">
      <c r="A107" s="11" t="n">
        <f aca="false">IFERROR(__xludf.dummyfunction("""COMPUTED_VALUE"""),43223.8547573264)</f>
        <v>43223.85476</v>
      </c>
      <c r="B107" s="0" t="str">
        <f aca="false">IFERROR(__xludf.dummyfunction("""COMPUTED_VALUE"""),"Мурашова")</f>
        <v>Мурашова</v>
      </c>
      <c r="C107" s="0" t="str">
        <f aca="false">IFERROR(__xludf.dummyfunction("""COMPUTED_VALUE"""),"Диана")</f>
        <v>Диана</v>
      </c>
      <c r="D107" s="0" t="n">
        <f aca="false">IFERROR(__xludf.dummyfunction("""COMPUTED_VALUE"""),8)</f>
        <v>8</v>
      </c>
      <c r="E107" s="0" t="n">
        <f aca="false">IFERROR(__xludf.dummyfunction("""COMPUTED_VALUE"""),44)</f>
        <v>44</v>
      </c>
      <c r="F107" s="0" t="str">
        <f aca="false">IFERROR(__xludf.dummyfunction("""COMPUTED_VALUE""")," Могу быть весь учебный день ")</f>
        <v>Могу быть весь учебный день</v>
      </c>
      <c r="G107" s="12" t="str">
        <f aca="false">IFERROR(__xludf.dummyfunction("""COMPUTED_VALUE"""),"vk.com/dimetria03")</f>
        <v>vk.com/dimetria03</v>
      </c>
      <c r="H107" s="0" t="str">
        <f aca="false">IFERROR(__xludf.dummyfunction("""COMPUTED_VALUE"""),"diagonal03@mail.ru")</f>
        <v>diagonal03@mail.ru</v>
      </c>
      <c r="I107" s="0" t="str">
        <f aca="false">IFERROR(__xludf.dummyfunction("""COMPUTED_VALUE"""),"Теория игр")</f>
        <v>Теория игр</v>
      </c>
      <c r="J107" s="0" t="str">
        <f aca="false">IFERROR(__xludf.dummyfunction("""COMPUTED_VALUE"""),"Олимпиадная математика")</f>
        <v>Олимпиадная математика</v>
      </c>
      <c r="K107" s="0" t="str">
        <f aca="false">IFERROR(__xludf.dummyfunction("""COMPUTED_VALUE"""),"Нет")</f>
        <v>Нет</v>
      </c>
      <c r="L107" s="0" t="str">
        <f aca="false">IFERROR(__xludf.dummyfunction("""COMPUTED_VALUE"""),"будет")</f>
        <v>будет</v>
      </c>
    </row>
    <row r="108" customFormat="false" ht="15.75" hidden="false" customHeight="false" outlineLevel="0" collapsed="false">
      <c r="A108" s="11" t="n">
        <f aca="false">IFERROR(__xludf.dummyfunction("""COMPUTED_VALUE"""),43224.2159192708)</f>
        <v>43224.21592</v>
      </c>
      <c r="B108" s="0" t="str">
        <f aca="false">IFERROR(__xludf.dummyfunction("""COMPUTED_VALUE"""),"Кочурова")</f>
        <v>Кочурова</v>
      </c>
      <c r="C108" s="0" t="str">
        <f aca="false">IFERROR(__xludf.dummyfunction("""COMPUTED_VALUE"""),"Елизавета")</f>
        <v>Елизавета</v>
      </c>
      <c r="D108" s="0" t="n">
        <f aca="false">IFERROR(__xludf.dummyfunction("""COMPUTED_VALUE"""),7)</f>
        <v>7</v>
      </c>
      <c r="E108" s="0" t="n">
        <f aca="false">IFERROR(__xludf.dummyfunction("""COMPUTED_VALUE"""),137)</f>
        <v>137</v>
      </c>
      <c r="G108" s="12" t="str">
        <f aca="false">IFERROR(__xludf.dummyfunction("""COMPUTED_VALUE"""),"vk.com/id308817000")</f>
        <v>vk.com/id308817000</v>
      </c>
      <c r="H108" s="0" t="str">
        <f aca="false">IFERROR(__xludf.dummyfunction("""COMPUTED_VALUE"""),"katyakochurova@bk.ru")</f>
        <v>katyakochurova@bk.ru</v>
      </c>
      <c r="I108" s="0" t="str">
        <f aca="false">IFERROR(__xludf.dummyfunction("""COMPUTED_VALUE"""),"Введение в роль элитных противостояний в истории")</f>
        <v>Введение в роль элитных противостояний в истории</v>
      </c>
      <c r="J108" s="0" t="str">
        <f aca="false">IFERROR(__xludf.dummyfunction("""COMPUTED_VALUE"""),"Олимпиадная математика")</f>
        <v>Олимпиадная математика</v>
      </c>
      <c r="K108" s="0" t="str">
        <f aca="false">IFERROR(__xludf.dummyfunction("""COMPUTED_VALUE"""),"Нет")</f>
        <v>Нет</v>
      </c>
      <c r="L108" s="0" t="str">
        <f aca="false">IFERROR(__xludf.dummyfunction("""COMPUTED_VALUE"""),"будет")</f>
        <v>будет</v>
      </c>
    </row>
    <row r="109" customFormat="false" ht="15.75" hidden="false" customHeight="false" outlineLevel="0" collapsed="false">
      <c r="A109" s="11" t="n">
        <f aca="false">IFERROR(__xludf.dummyfunction("""COMPUTED_VALUE"""),43224.4855982523)</f>
        <v>43224.4856</v>
      </c>
      <c r="B109" s="0" t="str">
        <f aca="false">IFERROR(__xludf.dummyfunction("""COMPUTED_VALUE"""),"Терновая")</f>
        <v>Терновая</v>
      </c>
      <c r="C109" s="0" t="str">
        <f aca="false">IFERROR(__xludf.dummyfunction("""COMPUTED_VALUE"""),"Надежда")</f>
        <v>Надежда</v>
      </c>
      <c r="D109" s="0" t="n">
        <f aca="false">IFERROR(__xludf.dummyfunction("""COMPUTED_VALUE"""),9)</f>
        <v>9</v>
      </c>
      <c r="E109" s="0" t="n">
        <f aca="false">IFERROR(__xludf.dummyfunction("""COMPUTED_VALUE"""),117)</f>
        <v>117</v>
      </c>
      <c r="F109" s="0" t="str">
        <f aca="false">IFERROR(__xludf.dummyfunction("""COMPUTED_VALUE"""),"уезжаю 15.07 из города")</f>
        <v>уезжаю 15.07 из города</v>
      </c>
      <c r="G109" s="12" t="str">
        <f aca="false">IFERROR(__xludf.dummyfunction("""COMPUTED_VALUE"""),"vk.com/nternovaya0")</f>
        <v>vk.com/nternovaya0</v>
      </c>
      <c r="H109" s="0" t="str">
        <f aca="false">IFERROR(__xludf.dummyfunction("""COMPUTED_VALUE"""),"ternovaya10112002@mail.ru")</f>
        <v>ternovaya10112002@mail.ru</v>
      </c>
      <c r="I109" s="0" t="str">
        <f aca="false">IFERROR(__xludf.dummyfunction("""COMPUTED_VALUE"""),"Олимпиадная химия")</f>
        <v>Олимпиадная химия</v>
      </c>
      <c r="J109" s="0" t="str">
        <f aca="false">IFERROR(__xludf.dummyfunction("""COMPUTED_VALUE"""),"Введение в роль элитных противостояний в истории")</f>
        <v>Введение в роль элитных противостояний в истории</v>
      </c>
      <c r="K109" s="0" t="str">
        <f aca="false">IFERROR(__xludf.dummyfunction("""COMPUTED_VALUE"""),"Нет")</f>
        <v>Нет</v>
      </c>
      <c r="L109" s="0" t="str">
        <f aca="false">IFERROR(__xludf.dummyfunction("""COMPUTED_VALUE"""),"будет")</f>
        <v>будет</v>
      </c>
    </row>
    <row r="110" customFormat="false" ht="15.75" hidden="false" customHeight="false" outlineLevel="0" collapsed="false">
      <c r="A110" s="11" t="n">
        <f aca="false">IFERROR(__xludf.dummyfunction("""COMPUTED_VALUE"""),43224.5432494329)</f>
        <v>43224.54325</v>
      </c>
      <c r="B110" s="0" t="str">
        <f aca="false">IFERROR(__xludf.dummyfunction("""COMPUTED_VALUE"""),"Михеев")</f>
        <v>Михеев</v>
      </c>
      <c r="C110" s="0" t="str">
        <f aca="false">IFERROR(__xludf.dummyfunction("""COMPUTED_VALUE"""),"Илья")</f>
        <v>Илья</v>
      </c>
      <c r="D110" s="0" t="n">
        <f aca="false">IFERROR(__xludf.dummyfunction("""COMPUTED_VALUE"""),10)</f>
        <v>10</v>
      </c>
      <c r="E110" s="0" t="n">
        <f aca="false">IFERROR(__xludf.dummyfunction("""COMPUTED_VALUE"""),117)</f>
        <v>117</v>
      </c>
      <c r="G110" s="12" t="str">
        <f aca="false">IFERROR(__xludf.dummyfunction("""COMPUTED_VALUE"""),"vk.com/mikheevii")</f>
        <v>vk.com/mikheevii</v>
      </c>
      <c r="H110" s="0" t="str">
        <f aca="false">IFERROR(__xludf.dummyfunction("""COMPUTED_VALUE"""),"Mihilya@list.ru")</f>
        <v>Mihilya@list.ru</v>
      </c>
      <c r="I110" s="0" t="str">
        <f aca="false">IFERROR(__xludf.dummyfunction("""COMPUTED_VALUE"""),"Теория игр")</f>
        <v>Теория игр</v>
      </c>
      <c r="J110" s="0" t="str">
        <f aca="false">IFERROR(__xludf.dummyfunction("""COMPUTED_VALUE"""),"Олимпиадная математика")</f>
        <v>Олимпиадная математика</v>
      </c>
      <c r="K110" s="0" t="str">
        <f aca="false">IFERROR(__xludf.dummyfunction("""COMPUTED_VALUE"""),"Нет")</f>
        <v>Нет</v>
      </c>
      <c r="L110" s="0" t="str">
        <f aca="false">IFERROR(__xludf.dummyfunction("""COMPUTED_VALUE"""),"будет")</f>
        <v>будет</v>
      </c>
    </row>
    <row r="111" customFormat="false" ht="15.75" hidden="false" customHeight="false" outlineLevel="0" collapsed="false">
      <c r="A111" s="11" t="n">
        <f aca="false">IFERROR(__xludf.dummyfunction("""COMPUTED_VALUE"""),43224.6667437037)</f>
        <v>43224.66674</v>
      </c>
      <c r="B111" s="0" t="str">
        <f aca="false">IFERROR(__xludf.dummyfunction("""COMPUTED_VALUE"""),"Геталова")</f>
        <v>Геталова</v>
      </c>
      <c r="C111" s="0" t="str">
        <f aca="false">IFERROR(__xludf.dummyfunction("""COMPUTED_VALUE"""),"Ирина")</f>
        <v>Ирина</v>
      </c>
      <c r="D111" s="0" t="n">
        <f aca="false">IFERROR(__xludf.dummyfunction("""COMPUTED_VALUE"""),9)</f>
        <v>9</v>
      </c>
      <c r="E111" s="0" t="n">
        <f aca="false">IFERROR(__xludf.dummyfunction("""COMPUTED_VALUE"""),36)</f>
        <v>36</v>
      </c>
      <c r="G111" s="12" t="str">
        <f aca="false">IFERROR(__xludf.dummyfunction("""COMPUTED_VALUE"""),"vk.com/ira_getalova")</f>
        <v>vk.com/ira_getalova</v>
      </c>
      <c r="H111" s="0" t="str">
        <f aca="false">IFERROR(__xludf.dummyfunction("""COMPUTED_VALUE"""),"getalovais@mail.ru")</f>
        <v>getalovais@mail.ru</v>
      </c>
      <c r="I111" s="0" t="str">
        <f aca="false">IFERROR(__xludf.dummyfunction("""COMPUTED_VALUE"""),"Международное право")</f>
        <v>Международное право</v>
      </c>
      <c r="J111" s="0" t="str">
        <f aca="false">IFERROR(__xludf.dummyfunction("""COMPUTED_VALUE"""),"Введение в роль элитных противостояний в истории")</f>
        <v>Введение в роль элитных противостояний в истории</v>
      </c>
      <c r="K111" s="0" t="str">
        <f aca="false">IFERROR(__xludf.dummyfunction("""COMPUTED_VALUE"""),"Нет")</f>
        <v>Нет</v>
      </c>
      <c r="L111" s="0" t="str">
        <f aca="false">IFERROR(__xludf.dummyfunction("""COMPUTED_VALUE"""),"будет")</f>
        <v>будет</v>
      </c>
    </row>
    <row r="112" customFormat="false" ht="15.75" hidden="false" customHeight="false" outlineLevel="0" collapsed="false">
      <c r="A112" s="11" t="n">
        <f aca="false">IFERROR(__xludf.dummyfunction("""COMPUTED_VALUE"""),43224.7782697222)</f>
        <v>43224.77827</v>
      </c>
      <c r="B112" s="0" t="str">
        <f aca="false">IFERROR(__xludf.dummyfunction("""COMPUTED_VALUE"""),"Манько ")</f>
        <v>Манько</v>
      </c>
      <c r="C112" s="0" t="str">
        <f aca="false">IFERROR(__xludf.dummyfunction("""COMPUTED_VALUE"""),"Елизавета ")</f>
        <v>Елизавета</v>
      </c>
      <c r="D112" s="0" t="n">
        <f aca="false">IFERROR(__xludf.dummyfunction("""COMPUTED_VALUE"""),9)</f>
        <v>9</v>
      </c>
      <c r="E112" s="0" t="n">
        <f aca="false">IFERROR(__xludf.dummyfunction("""COMPUTED_VALUE"""),1)</f>
        <v>1</v>
      </c>
      <c r="G112" s="12" t="str">
        <f aca="false">IFERROR(__xludf.dummyfunction("""COMPUTED_VALUE"""),"vk.com/beslizast")</f>
        <v>vk.com/beslizast</v>
      </c>
      <c r="H112" s="0" t="str">
        <f aca="false">IFERROR(__xludf.dummyfunction("""COMPUTED_VALUE"""),"manko_76@mail.ru")</f>
        <v>manko_76@mail.ru</v>
      </c>
      <c r="I112" s="0" t="str">
        <f aca="false">IFERROR(__xludf.dummyfunction("""COMPUTED_VALUE"""),"Международное право")</f>
        <v>Международное право</v>
      </c>
      <c r="J112" s="0" t="str">
        <f aca="false">IFERROR(__xludf.dummyfunction("""COMPUTED_VALUE"""),"Границы применимости физических моделей")</f>
        <v>Границы применимости физических моделей</v>
      </c>
      <c r="K112" s="0" t="str">
        <f aca="false">IFERROR(__xludf.dummyfunction("""COMPUTED_VALUE"""),"Нет")</f>
        <v>Нет</v>
      </c>
      <c r="L112" s="0" t="str">
        <f aca="false">IFERROR(__xludf.dummyfunction("""COMPUTED_VALUE"""),"будет")</f>
        <v>будет</v>
      </c>
    </row>
    <row r="113" customFormat="false" ht="15.75" hidden="false" customHeight="false" outlineLevel="0" collapsed="false">
      <c r="A113" s="11" t="n">
        <f aca="false">IFERROR(__xludf.dummyfunction("""COMPUTED_VALUE"""),43225.5176483102)</f>
        <v>43225.51765</v>
      </c>
      <c r="B113" s="0" t="str">
        <f aca="false">IFERROR(__xludf.dummyfunction("""COMPUTED_VALUE"""),"Мозылева")</f>
        <v>Мозылева</v>
      </c>
      <c r="C113" s="0" t="str">
        <f aca="false">IFERROR(__xludf.dummyfunction("""COMPUTED_VALUE"""),"Мария ")</f>
        <v>Мария</v>
      </c>
      <c r="D113" s="0" t="n">
        <f aca="false">IFERROR(__xludf.dummyfunction("""COMPUTED_VALUE"""),9)</f>
        <v>9</v>
      </c>
      <c r="E113" s="0" t="n">
        <f aca="false">IFERROR(__xludf.dummyfunction("""COMPUTED_VALUE"""),9)</f>
        <v>9</v>
      </c>
      <c r="G113" s="12" t="str">
        <f aca="false">IFERROR(__xludf.dummyfunction("""COMPUTED_VALUE"""),"vk.com/mozyleva_marie")</f>
        <v>vk.com/mozyleva_marie</v>
      </c>
      <c r="H113" s="0" t="str">
        <f aca="false">IFERROR(__xludf.dummyfunction("""COMPUTED_VALUE"""),"moz.maris@gmail.com")</f>
        <v>moz.maris@gmail.com</v>
      </c>
      <c r="I113" s="0" t="str">
        <f aca="false">IFERROR(__xludf.dummyfunction("""COMPUTED_VALUE"""),"Введение в роль элитных противостояний в истории")</f>
        <v>Введение в роль элитных противостояний в истории</v>
      </c>
      <c r="J113" s="0" t="str">
        <f aca="false">IFERROR(__xludf.dummyfunction("""COMPUTED_VALUE"""),"Олимпиадная химия")</f>
        <v>Олимпиадная химия</v>
      </c>
      <c r="K113" s="0" t="str">
        <f aca="false">IFERROR(__xludf.dummyfunction("""COMPUTED_VALUE"""),"Да")</f>
        <v>Да</v>
      </c>
      <c r="L113" s="0" t="str">
        <f aca="false">IFERROR(__xludf.dummyfunction("""COMPUTED_VALUE"""),"будет")</f>
        <v>будет</v>
      </c>
    </row>
    <row r="114" customFormat="false" ht="15.75" hidden="false" customHeight="false" outlineLevel="0" collapsed="false">
      <c r="A114" s="11" t="n">
        <f aca="false">IFERROR(__xludf.dummyfunction("""COMPUTED_VALUE"""),43225.6665562616)</f>
        <v>43225.66656</v>
      </c>
      <c r="B114" s="0" t="str">
        <f aca="false">IFERROR(__xludf.dummyfunction("""COMPUTED_VALUE"""),"Усова")</f>
        <v>Усова</v>
      </c>
      <c r="C114" s="0" t="str">
        <f aca="false">IFERROR(__xludf.dummyfunction("""COMPUTED_VALUE"""),"Вероника")</f>
        <v>Вероника</v>
      </c>
      <c r="D114" s="0" t="n">
        <f aca="false">IFERROR(__xludf.dummyfunction("""COMPUTED_VALUE"""),7)</f>
        <v>7</v>
      </c>
      <c r="E114" s="0" t="n">
        <f aca="false">IFERROR(__xludf.dummyfunction("""COMPUTED_VALUE"""),117)</f>
        <v>117</v>
      </c>
      <c r="G114" s="12" t="str">
        <f aca="false">IFERROR(__xludf.dummyfunction("""COMPUTED_VALUE"""),"vk.com/id440293644")</f>
        <v>vk.com/id440293644</v>
      </c>
      <c r="H114" s="0" t="str">
        <f aca="false">IFERROR(__xludf.dummyfunction("""COMPUTED_VALUE"""),"veronika.usova51@mail.ru")</f>
        <v>veronika.usova51@mail.ru</v>
      </c>
      <c r="I114" s="0" t="str">
        <f aca="false">IFERROR(__xludf.dummyfunction("""COMPUTED_VALUE"""),"Международное право")</f>
        <v>Международное право</v>
      </c>
      <c r="J114" s="0" t="str">
        <f aca="false">IFERROR(__xludf.dummyfunction("""COMPUTED_VALUE"""),"Введение в роль элитных противостояний в истории")</f>
        <v>Введение в роль элитных противостояний в истории</v>
      </c>
      <c r="K114" s="0" t="str">
        <f aca="false">IFERROR(__xludf.dummyfunction("""COMPUTED_VALUE"""),"Да")</f>
        <v>Да</v>
      </c>
      <c r="L114" s="0" t="str">
        <f aca="false">IFERROR(__xludf.dummyfunction("""COMPUTED_VALUE"""),"будет")</f>
        <v>будет</v>
      </c>
    </row>
    <row r="115" customFormat="false" ht="15.75" hidden="false" customHeight="false" outlineLevel="0" collapsed="false">
      <c r="A115" s="11" t="n">
        <f aca="false">IFERROR(__xludf.dummyfunction("""COMPUTED_VALUE"""),43225.7389727894)</f>
        <v>43225.73897</v>
      </c>
      <c r="B115" s="0" t="str">
        <f aca="false">IFERROR(__xludf.dummyfunction("""COMPUTED_VALUE"""),"Асаинов")</f>
        <v>Асаинов</v>
      </c>
      <c r="C115" s="0" t="str">
        <f aca="false">IFERROR(__xludf.dummyfunction("""COMPUTED_VALUE"""),"Дарий")</f>
        <v>Дарий</v>
      </c>
      <c r="D115" s="0" t="n">
        <f aca="false">IFERROR(__xludf.dummyfunction("""COMPUTED_VALUE"""),9)</f>
        <v>9</v>
      </c>
      <c r="E115" s="0" t="n">
        <f aca="false">IFERROR(__xludf.dummyfunction("""COMPUTED_VALUE"""),64)</f>
        <v>64</v>
      </c>
      <c r="G115" s="12" t="str">
        <f aca="false">IFERROR(__xludf.dummyfunction("""COMPUTED_VALUE"""),"vk.com/der_beste_god")</f>
        <v>vk.com/der_beste_god</v>
      </c>
      <c r="H115" s="0" t="str">
        <f aca="false">IFERROR(__xludf.dummyfunction("""COMPUTED_VALUE"""),"darainov@gmail.com")</f>
        <v>darainov@gmail.com</v>
      </c>
      <c r="I115" s="0" t="str">
        <f aca="false">IFERROR(__xludf.dummyfunction("""COMPUTED_VALUE"""),"Биология")</f>
        <v>Биология</v>
      </c>
      <c r="J115" s="0" t="str">
        <f aca="false">IFERROR(__xludf.dummyfunction("""COMPUTED_VALUE"""),"Олимпиадная математика")</f>
        <v>Олимпиадная математика</v>
      </c>
      <c r="K115" s="0" t="str">
        <f aca="false">IFERROR(__xludf.dummyfunction("""COMPUTED_VALUE"""),"Нет")</f>
        <v>Нет</v>
      </c>
      <c r="L115" s="0" t="str">
        <f aca="false">IFERROR(__xludf.dummyfunction("""COMPUTED_VALUE"""),"будет")</f>
        <v>будет</v>
      </c>
      <c r="M115" s="1" t="n">
        <v>1</v>
      </c>
    </row>
    <row r="116" customFormat="false" ht="15.75" hidden="false" customHeight="false" outlineLevel="0" collapsed="false">
      <c r="A116" s="11" t="n">
        <f aca="false">IFERROR(__xludf.dummyfunction("""COMPUTED_VALUE"""),43226.5020398264)</f>
        <v>43226.50204</v>
      </c>
      <c r="B116" s="0" t="str">
        <f aca="false">IFERROR(__xludf.dummyfunction("""COMPUTED_VALUE"""),"Барнёва ")</f>
        <v>Барнёва</v>
      </c>
      <c r="C116" s="0" t="str">
        <f aca="false">IFERROR(__xludf.dummyfunction("""COMPUTED_VALUE"""),"Софья ")</f>
        <v>Софья</v>
      </c>
      <c r="D116" s="0" t="n">
        <f aca="false">IFERROR(__xludf.dummyfunction("""COMPUTED_VALUE"""),8)</f>
        <v>8</v>
      </c>
      <c r="E116" s="0" t="n">
        <f aca="false">IFERROR(__xludf.dummyfunction("""COMPUTED_VALUE"""),117)</f>
        <v>117</v>
      </c>
      <c r="G116" s="12" t="str">
        <f aca="false">IFERROR(__xludf.dummyfunction("""COMPUTED_VALUE"""),"vk.com/id172357435")</f>
        <v>vk.com/id172357435</v>
      </c>
      <c r="H116" s="0" t="str">
        <f aca="false">IFERROR(__xludf.dummyfunction("""COMPUTED_VALUE"""),"sbarnyova@icloud.com")</f>
        <v>sbarnyova@icloud.com</v>
      </c>
      <c r="I116" s="0" t="str">
        <f aca="false">IFERROR(__xludf.dummyfunction("""COMPUTED_VALUE"""),"Биология")</f>
        <v>Биология</v>
      </c>
      <c r="J116" s="0" t="str">
        <f aca="false">IFERROR(__xludf.dummyfunction("""COMPUTED_VALUE"""),"Олимпиадная математика")</f>
        <v>Олимпиадная математика</v>
      </c>
      <c r="K116" s="0" t="str">
        <f aca="false">IFERROR(__xludf.dummyfunction("""COMPUTED_VALUE"""),"Нет")</f>
        <v>Нет</v>
      </c>
      <c r="L116" s="0" t="str">
        <f aca="false">IFERROR(__xludf.dummyfunction("""COMPUTED_VALUE"""),"будет")</f>
        <v>будет</v>
      </c>
      <c r="M116" s="1" t="n">
        <v>1</v>
      </c>
    </row>
    <row r="117" customFormat="false" ht="15.75" hidden="false" customHeight="false" outlineLevel="0" collapsed="false">
      <c r="A117" s="11" t="n">
        <f aca="false">IFERROR(__xludf.dummyfunction("""COMPUTED_VALUE"""),43226.5960114815)</f>
        <v>43226.59601</v>
      </c>
      <c r="B117" s="0" t="str">
        <f aca="false">IFERROR(__xludf.dummyfunction("""COMPUTED_VALUE"""),"Сергеев")</f>
        <v>Сергеев</v>
      </c>
      <c r="C117" s="0" t="str">
        <f aca="false">IFERROR(__xludf.dummyfunction("""COMPUTED_VALUE"""),"Алексей")</f>
        <v>Алексей</v>
      </c>
      <c r="D117" s="0" t="n">
        <f aca="false">IFERROR(__xludf.dummyfunction("""COMPUTED_VALUE"""),8)</f>
        <v>8</v>
      </c>
      <c r="E117" s="0" t="n">
        <f aca="false">IFERROR(__xludf.dummyfunction("""COMPUTED_VALUE"""),117)</f>
        <v>117</v>
      </c>
      <c r="G117" s="12" t="str">
        <f aca="false">IFERROR(__xludf.dummyfunction("""COMPUTED_VALUE"""),"vk.com/homesituation")</f>
        <v>vk.com/homesituation</v>
      </c>
      <c r="H117" s="0" t="str">
        <f aca="false">IFERROR(__xludf.dummyfunction("""COMPUTED_VALUE"""),"al.sergeev-03@mail.ru")</f>
        <v>al.sergeev-03@mail.ru</v>
      </c>
      <c r="I117" s="0" t="str">
        <f aca="false">IFERROR(__xludf.dummyfunction("""COMPUTED_VALUE"""),"Олимпиадная математика")</f>
        <v>Олимпиадная математика</v>
      </c>
      <c r="J117" s="0" t="str">
        <f aca="false">IFERROR(__xludf.dummyfunction("""COMPUTED_VALUE"""),"Границы применимости физических моделей")</f>
        <v>Границы применимости физических моделей</v>
      </c>
      <c r="K117" s="0" t="str">
        <f aca="false">IFERROR(__xludf.dummyfunction("""COMPUTED_VALUE"""),"Нет")</f>
        <v>Нет</v>
      </c>
      <c r="L117" s="0" t="str">
        <f aca="false">IFERROR(__xludf.dummyfunction("""COMPUTED_VALUE"""),"будет")</f>
        <v>будет</v>
      </c>
    </row>
    <row r="118" customFormat="false" ht="15.75" hidden="false" customHeight="false" outlineLevel="0" collapsed="false">
      <c r="A118" s="11" t="n">
        <f aca="false">IFERROR(__xludf.dummyfunction("""COMPUTED_VALUE"""),43226.7282629051)</f>
        <v>43226.72826</v>
      </c>
      <c r="B118" s="0" t="str">
        <f aca="false">IFERROR(__xludf.dummyfunction("""COMPUTED_VALUE"""),"Рожко")</f>
        <v>Рожко</v>
      </c>
      <c r="C118" s="0" t="str">
        <f aca="false">IFERROR(__xludf.dummyfunction("""COMPUTED_VALUE"""),"Екатерина")</f>
        <v>Екатерина</v>
      </c>
      <c r="D118" s="0" t="n">
        <f aca="false">IFERROR(__xludf.dummyfunction("""COMPUTED_VALUE"""),9)</f>
        <v>9</v>
      </c>
      <c r="E118" s="0" t="n">
        <f aca="false">IFERROR(__xludf.dummyfunction("""COMPUTED_VALUE"""),117)</f>
        <v>117</v>
      </c>
      <c r="G118" s="12" t="str">
        <f aca="false">IFERROR(__xludf.dummyfunction("""COMPUTED_VALUE"""),"vk.com/id234591697")</f>
        <v>vk.com/id234591697</v>
      </c>
      <c r="H118" s="0" t="str">
        <f aca="false">IFERROR(__xludf.dummyfunction("""COMPUTED_VALUE"""),"alina89618494419@mail.ru")</f>
        <v>alina89618494419@mail.ru</v>
      </c>
      <c r="I118" s="0" t="str">
        <f aca="false">IFERROR(__xludf.dummyfunction("""COMPUTED_VALUE"""),"Международное право")</f>
        <v>Международное право</v>
      </c>
      <c r="J118" s="0" t="str">
        <f aca="false">IFERROR(__xludf.dummyfunction("""COMPUTED_VALUE"""),"Введение в российское право")</f>
        <v>Введение в российское право</v>
      </c>
      <c r="K118" s="0" t="str">
        <f aca="false">IFERROR(__xludf.dummyfunction("""COMPUTED_VALUE"""),"Нет")</f>
        <v>Нет</v>
      </c>
      <c r="L118" s="0" t="str">
        <f aca="false">IFERROR(__xludf.dummyfunction("""COMPUTED_VALUE"""),"будет")</f>
        <v>будет</v>
      </c>
      <c r="M118" s="1" t="n">
        <v>1</v>
      </c>
    </row>
    <row r="119" customFormat="false" ht="15.75" hidden="false" customHeight="false" outlineLevel="0" collapsed="false">
      <c r="A119" s="11" t="n">
        <f aca="false">IFERROR(__xludf.dummyfunction("""COMPUTED_VALUE"""),43226.7551663426)</f>
        <v>43226.75517</v>
      </c>
      <c r="B119" s="0" t="str">
        <f aca="false">IFERROR(__xludf.dummyfunction("""COMPUTED_VALUE"""),"Поркулевич")</f>
        <v>Поркулевич</v>
      </c>
      <c r="C119" s="0" t="str">
        <f aca="false">IFERROR(__xludf.dummyfunction("""COMPUTED_VALUE"""),"Семён")</f>
        <v>Семён</v>
      </c>
      <c r="D119" s="0" t="n">
        <f aca="false">IFERROR(__xludf.dummyfunction("""COMPUTED_VALUE"""),10)</f>
        <v>10</v>
      </c>
      <c r="E119" s="0" t="n">
        <f aca="false">IFERROR(__xludf.dummyfunction("""COMPUTED_VALUE"""),64)</f>
        <v>64</v>
      </c>
      <c r="G119" s="12" t="str">
        <f aca="false">IFERROR(__xludf.dummyfunction("""COMPUTED_VALUE"""),"vk.com/id153731120")</f>
        <v>vk.com/id153731120</v>
      </c>
      <c r="H119" s="0" t="str">
        <f aca="false">IFERROR(__xludf.dummyfunction("""COMPUTED_VALUE"""),"vaska.pupkin.1989@list.ru")</f>
        <v>vaska.pupkin.1989@list.ru</v>
      </c>
      <c r="I119" s="0" t="str">
        <f aca="false">IFERROR(__xludf.dummyfunction("""COMPUTED_VALUE"""),"Теория игр")</f>
        <v>Теория игр</v>
      </c>
      <c r="J119" s="0" t="str">
        <f aca="false">IFERROR(__xludf.dummyfunction("""COMPUTED_VALUE"""),"Теория вероятностей")</f>
        <v>Теория вероятностей</v>
      </c>
      <c r="K119" s="0" t="str">
        <f aca="false">IFERROR(__xludf.dummyfunction("""COMPUTED_VALUE"""),"Да")</f>
        <v>Да</v>
      </c>
      <c r="L119" s="0" t="str">
        <f aca="false">IFERROR(__xludf.dummyfunction("""COMPUTED_VALUE"""),"неизвестно")</f>
        <v>неизвестно</v>
      </c>
    </row>
    <row r="120" customFormat="false" ht="15.75" hidden="false" customHeight="false" outlineLevel="0" collapsed="false">
      <c r="A120" s="11" t="n">
        <f aca="false">IFERROR(__xludf.dummyfunction("""COMPUTED_VALUE"""),43226.7704610764)</f>
        <v>43226.77046</v>
      </c>
      <c r="B120" s="0" t="str">
        <f aca="false">IFERROR(__xludf.dummyfunction("""COMPUTED_VALUE"""),"Крючков ")</f>
        <v>Крючков</v>
      </c>
      <c r="C120" s="0" t="str">
        <f aca="false">IFERROR(__xludf.dummyfunction("""COMPUTED_VALUE"""),"Андрей")</f>
        <v>Андрей</v>
      </c>
      <c r="D120" s="0" t="n">
        <f aca="false">IFERROR(__xludf.dummyfunction("""COMPUTED_VALUE"""),8)</f>
        <v>8</v>
      </c>
      <c r="E120" s="0" t="n">
        <f aca="false">IFERROR(__xludf.dummyfunction("""COMPUTED_VALUE"""),123)</f>
        <v>123</v>
      </c>
      <c r="G120" s="12" t="str">
        <f aca="false">IFERROR(__xludf.dummyfunction("""COMPUTED_VALUE"""),"vk.com/id207531264")</f>
        <v>vk.com/id207531264</v>
      </c>
      <c r="H120" s="0" t="str">
        <f aca="false">IFERROR(__xludf.dummyfunction("""COMPUTED_VALUE"""),"andrysha.kruchkov@mail.ru")</f>
        <v>andrysha.kruchkov@mail.ru</v>
      </c>
      <c r="I120" s="0" t="str">
        <f aca="false">IFERROR(__xludf.dummyfunction("""COMPUTED_VALUE"""),"Олимпиадная математика")</f>
        <v>Олимпиадная математика</v>
      </c>
      <c r="J120" s="0" t="str">
        <f aca="false">IFERROR(__xludf.dummyfunction("""COMPUTED_VALUE"""),"Границы применимости физических моделей")</f>
        <v>Границы применимости физических моделей</v>
      </c>
      <c r="K120" s="0" t="str">
        <f aca="false">IFERROR(__xludf.dummyfunction("""COMPUTED_VALUE"""),"Нет")</f>
        <v>Нет</v>
      </c>
      <c r="L120" s="0" t="str">
        <f aca="false">IFERROR(__xludf.dummyfunction("""COMPUTED_VALUE"""),"будет")</f>
        <v>будет</v>
      </c>
    </row>
    <row r="121" customFormat="false" ht="15.75" hidden="false" customHeight="false" outlineLevel="0" collapsed="false">
      <c r="A121" s="11" t="n">
        <f aca="false">IFERROR(__xludf.dummyfunction("""COMPUTED_VALUE"""),43226.7720581134)</f>
        <v>43226.77206</v>
      </c>
      <c r="B121" s="0" t="str">
        <f aca="false">IFERROR(__xludf.dummyfunction("""COMPUTED_VALUE"""),"Абдикеев")</f>
        <v>Абдикеев</v>
      </c>
      <c r="C121" s="0" t="str">
        <f aca="false">IFERROR(__xludf.dummyfunction("""COMPUTED_VALUE"""),"Марат")</f>
        <v>Марат</v>
      </c>
      <c r="D121" s="0" t="n">
        <f aca="false">IFERROR(__xludf.dummyfunction("""COMPUTED_VALUE"""),9)</f>
        <v>9</v>
      </c>
      <c r="E121" s="0" t="n">
        <f aca="false">IFERROR(__xludf.dummyfunction("""COMPUTED_VALUE"""),117)</f>
        <v>117</v>
      </c>
      <c r="G121" s="12" t="str">
        <f aca="false">IFERROR(__xludf.dummyfunction("""COMPUTED_VALUE"""),"vk.com/id415230992")</f>
        <v>vk.com/id415230992</v>
      </c>
      <c r="H121" s="0" t="str">
        <f aca="false">IFERROR(__xludf.dummyfunction("""COMPUTED_VALUE"""),"ifitsme@yandex.ru")</f>
        <v>ifitsme@yandex.ru</v>
      </c>
      <c r="I121" s="0" t="str">
        <f aca="false">IFERROR(__xludf.dummyfunction("""COMPUTED_VALUE"""),"Международное право")</f>
        <v>Международное право</v>
      </c>
      <c r="J121" s="0" t="str">
        <f aca="false">IFERROR(__xludf.dummyfunction("""COMPUTED_VALUE"""),"Введение в российское право")</f>
        <v>Введение в российское право</v>
      </c>
      <c r="K121" s="0" t="str">
        <f aca="false">IFERROR(__xludf.dummyfunction("""COMPUTED_VALUE"""),"Нет")</f>
        <v>Нет</v>
      </c>
      <c r="L121" s="0" t="str">
        <f aca="false">IFERROR(__xludf.dummyfunction("""COMPUTED_VALUE"""),"будет")</f>
        <v>будет</v>
      </c>
    </row>
    <row r="122" customFormat="false" ht="15.75" hidden="false" customHeight="false" outlineLevel="0" collapsed="false">
      <c r="A122" s="11" t="n">
        <f aca="false">IFERROR(__xludf.dummyfunction("""COMPUTED_VALUE"""),43227.4966585764)</f>
        <v>43227.49666</v>
      </c>
      <c r="B122" s="0" t="str">
        <f aca="false">IFERROR(__xludf.dummyfunction("""COMPUTED_VALUE"""),"Желнин")</f>
        <v>Желнин</v>
      </c>
      <c r="C122" s="0" t="str">
        <f aca="false">IFERROR(__xludf.dummyfunction("""COMPUTED_VALUE"""),"Максим")</f>
        <v>Максим</v>
      </c>
      <c r="D122" s="0" t="n">
        <f aca="false">IFERROR(__xludf.dummyfunction("""COMPUTED_VALUE"""),9)</f>
        <v>9</v>
      </c>
      <c r="E122" s="0" t="n">
        <f aca="false">IFERROR(__xludf.dummyfunction("""COMPUTED_VALUE"""),64)</f>
        <v>64</v>
      </c>
      <c r="G122" s="12" t="str">
        <f aca="false">IFERROR(__xludf.dummyfunction("""COMPUTED_VALUE"""),"vk.com/doc_ya")</f>
        <v>vk.com/doc_ya</v>
      </c>
      <c r="H122" s="0" t="str">
        <f aca="false">IFERROR(__xludf.dummyfunction("""COMPUTED_VALUE"""),"maksim_zhelnin@mail.ru")</f>
        <v>maksim_zhelnin@mail.ru</v>
      </c>
      <c r="I122" s="0" t="str">
        <f aca="false">IFERROR(__xludf.dummyfunction("""COMPUTED_VALUE"""),"Международное право")</f>
        <v>Международное право</v>
      </c>
      <c r="J122" s="0" t="str">
        <f aca="false">IFERROR(__xludf.dummyfunction("""COMPUTED_VALUE"""),"Экономическое мышление и никакой математики!")</f>
        <v>Экономическое мышление и никакой математики!</v>
      </c>
      <c r="K122" s="0" t="str">
        <f aca="false">IFERROR(__xludf.dummyfunction("""COMPUTED_VALUE"""),"Нет")</f>
        <v>Нет</v>
      </c>
      <c r="L122" s="0" t="str">
        <f aca="false">IFERROR(__xludf.dummyfunction("""COMPUTED_VALUE"""),"будет")</f>
        <v>будет</v>
      </c>
      <c r="M122" s="1" t="n">
        <v>1</v>
      </c>
    </row>
    <row r="123" customFormat="false" ht="15.75" hidden="false" customHeight="false" outlineLevel="0" collapsed="false">
      <c r="A123" s="11" t="n">
        <f aca="false">IFERROR(__xludf.dummyfunction("""COMPUTED_VALUE"""),43227.5463791782)</f>
        <v>43227.54638</v>
      </c>
      <c r="B123" s="0" t="str">
        <f aca="false">IFERROR(__xludf.dummyfunction("""COMPUTED_VALUE"""),"Татаурова")</f>
        <v>Татаурова</v>
      </c>
      <c r="C123" s="0" t="str">
        <f aca="false">IFERROR(__xludf.dummyfunction("""COMPUTED_VALUE"""),"Софья")</f>
        <v>Софья</v>
      </c>
      <c r="D123" s="0" t="n">
        <f aca="false">IFERROR(__xludf.dummyfunction("""COMPUTED_VALUE"""),10)</f>
        <v>10</v>
      </c>
      <c r="E123" s="0" t="n">
        <f aca="false">IFERROR(__xludf.dummyfunction("""COMPUTED_VALUE"""),19)</f>
        <v>19</v>
      </c>
      <c r="G123" s="12" t="str">
        <f aca="false">IFERROR(__xludf.dummyfunction("""COMPUTED_VALUE"""),"vk.com/sila_11797r649_sila")</f>
        <v>vk.com/sila_11797r649_sila</v>
      </c>
      <c r="H123" s="0" t="str">
        <f aca="false">IFERROR(__xludf.dummyfunction("""COMPUTED_VALUE"""),"sofiya_tataurova@mail.ru")</f>
        <v>sofiya_tataurova@mail.ru</v>
      </c>
      <c r="I123" s="0" t="str">
        <f aca="false">IFERROR(__xludf.dummyfunction("""COMPUTED_VALUE"""),"Олимпиадная математика")</f>
        <v>Олимпиадная математика</v>
      </c>
      <c r="J123" s="0" t="str">
        <f aca="false">IFERROR(__xludf.dummyfunction("""COMPUTED_VALUE"""),"Теория вероятностей")</f>
        <v>Теория вероятностей</v>
      </c>
      <c r="K123" s="0" t="str">
        <f aca="false">IFERROR(__xludf.dummyfunction("""COMPUTED_VALUE"""),"Нет")</f>
        <v>Нет</v>
      </c>
      <c r="L123" s="0" t="str">
        <f aca="false">IFERROR(__xludf.dummyfunction("""COMPUTED_VALUE"""),"будет")</f>
        <v>будет</v>
      </c>
    </row>
    <row r="124" customFormat="false" ht="15.75" hidden="false" customHeight="false" outlineLevel="0" collapsed="false">
      <c r="A124" s="11" t="n">
        <f aca="false">IFERROR(__xludf.dummyfunction("""COMPUTED_VALUE"""),43227.6171484259)</f>
        <v>43227.61715</v>
      </c>
      <c r="B124" s="0" t="str">
        <f aca="false">IFERROR(__xludf.dummyfunction("""COMPUTED_VALUE"""),"Малыхина")</f>
        <v>Малыхина</v>
      </c>
      <c r="C124" s="0" t="str">
        <f aca="false">IFERROR(__xludf.dummyfunction("""COMPUTED_VALUE"""),"Анастасия")</f>
        <v>Анастасия</v>
      </c>
      <c r="D124" s="0" t="n">
        <f aca="false">IFERROR(__xludf.dummyfunction("""COMPUTED_VALUE"""),7)</f>
        <v>7</v>
      </c>
      <c r="E124" s="0" t="n">
        <f aca="false">IFERROR(__xludf.dummyfunction("""COMPUTED_VALUE"""),146)</f>
        <v>146</v>
      </c>
      <c r="F124" s="0" t="str">
        <f aca="false">IFERROR(__xludf.dummyfunction("""COMPUTED_VALUE"""),"смогу начать обучение с 10 июля")</f>
        <v>смогу начать обучение с 10 июля</v>
      </c>
      <c r="G124" s="12" t="str">
        <f aca="false">IFERROR(__xludf.dummyfunction("""COMPUTED_VALUE"""),"vk.com/id224821133")</f>
        <v>vk.com/id224821133</v>
      </c>
      <c r="H124" s="0" t="str">
        <f aca="false">IFERROR(__xludf.dummyfunction("""COMPUTED_VALUE"""),"nastyam080306@mail.ru")</f>
        <v>nastyam080306@mail.ru</v>
      </c>
      <c r="I124" s="0" t="str">
        <f aca="false">IFERROR(__xludf.dummyfunction("""COMPUTED_VALUE"""),"Меня не будет в эту половину")</f>
        <v>Меня не будет в эту половину</v>
      </c>
      <c r="J124" s="0" t="str">
        <f aca="false">IFERROR(__xludf.dummyfunction("""COMPUTED_VALUE"""),"Олимпиадная математика")</f>
        <v>Олимпиадная математика</v>
      </c>
      <c r="K124" s="0" t="str">
        <f aca="false">IFERROR(__xludf.dummyfunction("""COMPUTED_VALUE"""),"Нет")</f>
        <v>Нет</v>
      </c>
      <c r="L124" s="0" t="str">
        <f aca="false">IFERROR(__xludf.dummyfunction("""COMPUTED_VALUE"""),"будет")</f>
        <v>будет</v>
      </c>
    </row>
    <row r="125" customFormat="false" ht="15.75" hidden="false" customHeight="false" outlineLevel="0" collapsed="false">
      <c r="A125" s="11" t="n">
        <f aca="false">IFERROR(__xludf.dummyfunction("""COMPUTED_VALUE"""),43227.6658950463)</f>
        <v>43227.6659</v>
      </c>
      <c r="B125" s="0" t="str">
        <f aca="false">IFERROR(__xludf.dummyfunction("""COMPUTED_VALUE"""),"Кривцова")</f>
        <v>Кривцова</v>
      </c>
      <c r="C125" s="0" t="str">
        <f aca="false">IFERROR(__xludf.dummyfunction("""COMPUTED_VALUE"""),"Анна")</f>
        <v>Анна</v>
      </c>
      <c r="D125" s="0" t="n">
        <f aca="false">IFERROR(__xludf.dummyfunction("""COMPUTED_VALUE"""),9)</f>
        <v>9</v>
      </c>
      <c r="E125" s="0" t="n">
        <f aca="false">IFERROR(__xludf.dummyfunction("""COMPUTED_VALUE"""),64)</f>
        <v>64</v>
      </c>
      <c r="G125" s="12" t="str">
        <f aca="false">IFERROR(__xludf.dummyfunction("""COMPUTED_VALUE"""),"vk.com/ann_1907")</f>
        <v>vk.com/ann_1907</v>
      </c>
      <c r="H125" s="0" t="str">
        <f aca="false">IFERROR(__xludf.dummyfunction("""COMPUTED_VALUE"""),"kotya_1907@mail.ru")</f>
        <v>kotya_1907@mail.ru</v>
      </c>
      <c r="I125" s="0" t="str">
        <f aca="false">IFERROR(__xludf.dummyfunction("""COMPUTED_VALUE"""),"Международное право")</f>
        <v>Международное право</v>
      </c>
      <c r="J125" s="0" t="str">
        <f aca="false">IFERROR(__xludf.dummyfunction("""COMPUTED_VALUE"""),"Экономическое мышление и никакой математики!")</f>
        <v>Экономическое мышление и никакой математики!</v>
      </c>
      <c r="K125" s="0" t="str">
        <f aca="false">IFERROR(__xludf.dummyfunction("""COMPUTED_VALUE"""),"Нет")</f>
        <v>Нет</v>
      </c>
      <c r="L125" s="0" t="str">
        <f aca="false">IFERROR(__xludf.dummyfunction("""COMPUTED_VALUE"""),"будет")</f>
        <v>будет</v>
      </c>
    </row>
    <row r="126" customFormat="false" ht="15.75" hidden="false" customHeight="false" outlineLevel="0" collapsed="false">
      <c r="A126" s="11" t="n">
        <f aca="false">IFERROR(__xludf.dummyfunction("""COMPUTED_VALUE"""),43227.7043800695)</f>
        <v>43227.70438</v>
      </c>
      <c r="B126" s="0" t="str">
        <f aca="false">IFERROR(__xludf.dummyfunction("""COMPUTED_VALUE"""),"Тарасенко")</f>
        <v>Тарасенко</v>
      </c>
      <c r="C126" s="0" t="str">
        <f aca="false">IFERROR(__xludf.dummyfunction("""COMPUTED_VALUE"""),"Леонид")</f>
        <v>Леонид</v>
      </c>
      <c r="D126" s="0" t="n">
        <f aca="false">IFERROR(__xludf.dummyfunction("""COMPUTED_VALUE"""),7)</f>
        <v>7</v>
      </c>
      <c r="E126" s="0" t="n">
        <f aca="false">IFERROR(__xludf.dummyfunction("""COMPUTED_VALUE"""),64)</f>
        <v>64</v>
      </c>
      <c r="G126" s="12" t="str">
        <f aca="false">IFERROR(__xludf.dummyfunction("""COMPUTED_VALUE"""),"vk.com/id307165294")</f>
        <v>vk.com/id307165294</v>
      </c>
      <c r="H126" s="0" t="str">
        <f aca="false">IFERROR(__xludf.dummyfunction("""COMPUTED_VALUE"""),"leonid.tara@gmail.com")</f>
        <v>leonid.tara@gmail.com</v>
      </c>
      <c r="I126" s="0" t="str">
        <f aca="false">IFERROR(__xludf.dummyfunction("""COMPUTED_VALUE"""),"Олимпиадная математика")</f>
        <v>Олимпиадная математика</v>
      </c>
      <c r="J126" s="0" t="str">
        <f aca="false">IFERROR(__xludf.dummyfunction("""COMPUTED_VALUE"""),"Экономическое мышление и никакой математики!")</f>
        <v>Экономическое мышление и никакой математики!</v>
      </c>
      <c r="K126" s="0" t="str">
        <f aca="false">IFERROR(__xludf.dummyfunction("""COMPUTED_VALUE"""),"Нет")</f>
        <v>Нет</v>
      </c>
      <c r="L126" s="0" t="str">
        <f aca="false">IFERROR(__xludf.dummyfunction("""COMPUTED_VALUE"""),"будет")</f>
        <v>будет</v>
      </c>
      <c r="M126" s="1" t="n">
        <v>1</v>
      </c>
    </row>
    <row r="127" customFormat="false" ht="15.75" hidden="false" customHeight="false" outlineLevel="0" collapsed="false">
      <c r="A127" s="11" t="n">
        <f aca="false">IFERROR(__xludf.dummyfunction("""COMPUTED_VALUE"""),43227.7082518056)</f>
        <v>43227.70825</v>
      </c>
      <c r="B127" s="0" t="str">
        <f aca="false">IFERROR(__xludf.dummyfunction("""COMPUTED_VALUE"""),"Шарифуллин ")</f>
        <v>Шарифуллин</v>
      </c>
      <c r="C127" s="0" t="str">
        <f aca="false">IFERROR(__xludf.dummyfunction("""COMPUTED_VALUE"""),"Руслан")</f>
        <v>Руслан</v>
      </c>
      <c r="D127" s="0" t="n">
        <f aca="false">IFERROR(__xludf.dummyfunction("""COMPUTED_VALUE"""),10)</f>
        <v>10</v>
      </c>
      <c r="E127" s="0" t="n">
        <f aca="false">IFERROR(__xludf.dummyfunction("""COMPUTED_VALUE"""),166)</f>
        <v>166</v>
      </c>
      <c r="G127" s="12" t="str">
        <f aca="false">IFERROR(__xludf.dummyfunction("""COMPUTED_VALUE"""),"vk.com/id223911840")</f>
        <v>vk.com/id223911840</v>
      </c>
      <c r="H127" s="0" t="str">
        <f aca="false">IFERROR(__xludf.dummyfunction("""COMPUTED_VALUE"""),"ruslan31102001@mail.ru")</f>
        <v>ruslan31102001@mail.ru</v>
      </c>
      <c r="I127" s="0" t="str">
        <f aca="false">IFERROR(__xludf.dummyfunction("""COMPUTED_VALUE"""),"Теория игр")</f>
        <v>Теория игр</v>
      </c>
      <c r="J127" s="0" t="str">
        <f aca="false">IFERROR(__xludf.dummyfunction("""COMPUTED_VALUE"""),"Введение в анализ данных")</f>
        <v>Введение в анализ данных</v>
      </c>
      <c r="K127" s="0" t="str">
        <f aca="false">IFERROR(__xludf.dummyfunction("""COMPUTED_VALUE"""),"Нет")</f>
        <v>Нет</v>
      </c>
      <c r="L127" s="0" t="str">
        <f aca="false">IFERROR(__xludf.dummyfunction("""COMPUTED_VALUE"""),"будет")</f>
        <v>будет</v>
      </c>
      <c r="M127" s="1" t="n">
        <v>1</v>
      </c>
    </row>
    <row r="128" customFormat="false" ht="15.75" hidden="false" customHeight="false" outlineLevel="0" collapsed="false">
      <c r="A128" s="11" t="n">
        <f aca="false">IFERROR(__xludf.dummyfunction("""COMPUTED_VALUE"""),43227.7822928357)</f>
        <v>43227.78229</v>
      </c>
      <c r="B128" s="0" t="str">
        <f aca="false">IFERROR(__xludf.dummyfunction("""COMPUTED_VALUE"""),"Кудрявцева")</f>
        <v>Кудрявцева</v>
      </c>
      <c r="C128" s="0" t="str">
        <f aca="false">IFERROR(__xludf.dummyfunction("""COMPUTED_VALUE"""),"Дарья")</f>
        <v>Дарья</v>
      </c>
      <c r="D128" s="0" t="n">
        <f aca="false">IFERROR(__xludf.dummyfunction("""COMPUTED_VALUE"""),10)</f>
        <v>10</v>
      </c>
      <c r="E128" s="0" t="n">
        <f aca="false">IFERROR(__xludf.dummyfunction("""COMPUTED_VALUE"""),117)</f>
        <v>117</v>
      </c>
      <c r="G128" s="12" t="str">
        <f aca="false">IFERROR(__xludf.dummyfunction("""COMPUTED_VALUE"""),"vk.com/id136912725")</f>
        <v>vk.com/id136912725</v>
      </c>
      <c r="H128" s="0" t="str">
        <f aca="false">IFERROR(__xludf.dummyfunction("""COMPUTED_VALUE"""),"ms.straycer@mail.ru")</f>
        <v>ms.straycer@mail.ru</v>
      </c>
      <c r="I128" s="0" t="str">
        <f aca="false">IFERROR(__xludf.dummyfunction("""COMPUTED_VALUE"""),"Олимпиадная математика")</f>
        <v>Олимпиадная математика</v>
      </c>
      <c r="J128" s="0" t="str">
        <f aca="false">IFERROR(__xludf.dummyfunction("""COMPUTED_VALUE"""),"Экономическое мышление и никакой математики!")</f>
        <v>Экономическое мышление и никакой математики!</v>
      </c>
      <c r="K128" s="0" t="str">
        <f aca="false">IFERROR(__xludf.dummyfunction("""COMPUTED_VALUE"""),"Нет")</f>
        <v>Нет</v>
      </c>
      <c r="L128" s="0" t="str">
        <f aca="false">IFERROR(__xludf.dummyfunction("""COMPUTED_VALUE"""),"будет")</f>
        <v>будет</v>
      </c>
    </row>
    <row r="129" customFormat="false" ht="15.75" hidden="false" customHeight="false" outlineLevel="0" collapsed="false">
      <c r="A129" s="11" t="n">
        <f aca="false">IFERROR(__xludf.dummyfunction("""COMPUTED_VALUE"""),43227.8281731019)</f>
        <v>43227.82817</v>
      </c>
      <c r="B129" s="0" t="str">
        <f aca="false">IFERROR(__xludf.dummyfunction("""COMPUTED_VALUE"""),"Ляшев")</f>
        <v>Ляшев</v>
      </c>
      <c r="C129" s="0" t="str">
        <f aca="false">IFERROR(__xludf.dummyfunction("""COMPUTED_VALUE"""),"Артём ")</f>
        <v>Артём</v>
      </c>
      <c r="D129" s="0" t="n">
        <f aca="false">IFERROR(__xludf.dummyfunction("""COMPUTED_VALUE"""),9)</f>
        <v>9</v>
      </c>
      <c r="E129" s="0" t="n">
        <f aca="false">IFERROR(__xludf.dummyfunction("""COMPUTED_VALUE"""),117)</f>
        <v>117</v>
      </c>
      <c r="F129" s="0" t="str">
        <f aca="false">IFERROR(__xludf.dummyfunction("""COMPUTED_VALUE"""),"Я бы хотел принять участие во втором курсе по биологии. ")</f>
        <v>Я бы хотел принять участие во втором курсе по биологии.</v>
      </c>
      <c r="G129" s="12" t="str">
        <f aca="false">IFERROR(__xludf.dummyfunction("""COMPUTED_VALUE"""),"vk.com/id85584620")</f>
        <v>vk.com/id85584620</v>
      </c>
      <c r="H129" s="0" t="str">
        <f aca="false">IFERROR(__xludf.dummyfunction("""COMPUTED_VALUE"""),"artem.ru.art@mail.ru")</f>
        <v>artem.ru.art@mail.ru</v>
      </c>
      <c r="I129" s="0" t="str">
        <f aca="false">IFERROR(__xludf.dummyfunction("""COMPUTED_VALUE"""),"Меня не будет в эту половину")</f>
        <v>Меня не будет в эту половину</v>
      </c>
      <c r="J129" s="0" t="str">
        <f aca="false">IFERROR(__xludf.dummyfunction("""COMPUTED_VALUE"""),"Биология")</f>
        <v>Биология</v>
      </c>
      <c r="K129" s="0" t="str">
        <f aca="false">IFERROR(__xludf.dummyfunction("""COMPUTED_VALUE"""),"Нет")</f>
        <v>Нет</v>
      </c>
      <c r="L129" s="0" t="str">
        <f aca="false">IFERROR(__xludf.dummyfunction("""COMPUTED_VALUE"""),"будет")</f>
        <v>будет</v>
      </c>
    </row>
    <row r="130" customFormat="false" ht="15.75" hidden="false" customHeight="false" outlineLevel="0" collapsed="false">
      <c r="A130" s="11" t="n">
        <f aca="false">IFERROR(__xludf.dummyfunction("""COMPUTED_VALUE"""),43227.8903909144)</f>
        <v>43227.89039</v>
      </c>
      <c r="B130" s="0" t="str">
        <f aca="false">IFERROR(__xludf.dummyfunction("""COMPUTED_VALUE"""),"Гуртовенко")</f>
        <v>Гуртовенко</v>
      </c>
      <c r="C130" s="0" t="str">
        <f aca="false">IFERROR(__xludf.dummyfunction("""COMPUTED_VALUE"""),"Юля")</f>
        <v>Юля</v>
      </c>
      <c r="D130" s="0" t="n">
        <f aca="false">IFERROR(__xludf.dummyfunction("""COMPUTED_VALUE"""),8)</f>
        <v>8</v>
      </c>
      <c r="E130" s="0" t="n">
        <f aca="false">IFERROR(__xludf.dummyfunction("""COMPUTED_VALUE"""),117)</f>
        <v>117</v>
      </c>
      <c r="G130" s="12" t="str">
        <f aca="false">IFERROR(__xludf.dummyfunction("""COMPUTED_VALUE"""),"vk.com/dominedeusmf")</f>
        <v>vk.com/dominedeusmf</v>
      </c>
      <c r="H130" s="0" t="str">
        <f aca="false">IFERROR(__xludf.dummyfunction("""COMPUTED_VALUE"""),"surprise.trap@gmail.com")</f>
        <v>surprise.trap@gmail.com</v>
      </c>
      <c r="I130" s="0" t="str">
        <f aca="false">IFERROR(__xludf.dummyfunction("""COMPUTED_VALUE"""),"Введение в роль элитных противостояний в истории")</f>
        <v>Введение в роль элитных противостояний в истории</v>
      </c>
      <c r="J130" s="0" t="str">
        <f aca="false">IFERROR(__xludf.dummyfunction("""COMPUTED_VALUE"""),"Введение в российское право")</f>
        <v>Введение в российское право</v>
      </c>
      <c r="K130" s="0" t="str">
        <f aca="false">IFERROR(__xludf.dummyfunction("""COMPUTED_VALUE"""),"Нет")</f>
        <v>Нет</v>
      </c>
      <c r="L130" s="0" t="str">
        <f aca="false">IFERROR(__xludf.dummyfunction("""COMPUTED_VALUE"""),"будет")</f>
        <v>будет</v>
      </c>
    </row>
    <row r="131" customFormat="false" ht="15.75" hidden="false" customHeight="false" outlineLevel="0" collapsed="false">
      <c r="A131" s="11" t="n">
        <f aca="false">IFERROR(__xludf.dummyfunction("""COMPUTED_VALUE"""),43228.5591053588)</f>
        <v>43228.55911</v>
      </c>
      <c r="B131" s="0" t="str">
        <f aca="false">IFERROR(__xludf.dummyfunction("""COMPUTED_VALUE"""),"Зайцева ")</f>
        <v>Зайцева</v>
      </c>
      <c r="C131" s="0" t="str">
        <f aca="false">IFERROR(__xludf.dummyfunction("""COMPUTED_VALUE"""),"Виктория ")</f>
        <v>Виктория</v>
      </c>
      <c r="D131" s="0" t="n">
        <f aca="false">IFERROR(__xludf.dummyfunction("""COMPUTED_VALUE"""),8)</f>
        <v>8</v>
      </c>
      <c r="E131" s="0" t="n">
        <f aca="false">IFERROR(__xludf.dummyfunction("""COMPUTED_VALUE"""),166)</f>
        <v>166</v>
      </c>
      <c r="F131" s="0" t="str">
        <f aca="false">IFERROR(__xludf.dummyfunction("""COMPUTED_VALUE"""),"Я могу находиться весь учебный день ")</f>
        <v>Я могу находиться весь учебный день</v>
      </c>
      <c r="G131" s="12" t="str">
        <f aca="false">IFERROR(__xludf.dummyfunction("""COMPUTED_VALUE"""),"vk.com/wall-95923242_390")</f>
        <v>vk.com/wall-95923242_390</v>
      </c>
      <c r="H131" s="0" t="str">
        <f aca="false">IFERROR(__xludf.dummyfunction("""COMPUTED_VALUE"""),"Vikaz2000@yandex.ru")</f>
        <v>Vikaz2000@yandex.ru</v>
      </c>
      <c r="I131" s="0" t="str">
        <f aca="false">IFERROR(__xludf.dummyfunction("""COMPUTED_VALUE"""),"Олимпиадная математика")</f>
        <v>Олимпиадная математика</v>
      </c>
      <c r="J131" s="0" t="str">
        <f aca="false">IFERROR(__xludf.dummyfunction("""COMPUTED_VALUE"""),"Введение в российское право")</f>
        <v>Введение в российское право</v>
      </c>
      <c r="K131" s="0" t="str">
        <f aca="false">IFERROR(__xludf.dummyfunction("""COMPUTED_VALUE"""),"Нет")</f>
        <v>Нет</v>
      </c>
      <c r="L131" s="0" t="str">
        <f aca="false">IFERROR(__xludf.dummyfunction("""COMPUTED_VALUE"""),"будет")</f>
        <v>будет</v>
      </c>
    </row>
    <row r="132" customFormat="false" ht="15.75" hidden="false" customHeight="false" outlineLevel="0" collapsed="false">
      <c r="A132" s="11" t="n">
        <f aca="false">IFERROR(__xludf.dummyfunction("""COMPUTED_VALUE"""),43228.6803176505)</f>
        <v>43228.68032</v>
      </c>
      <c r="B132" s="0" t="str">
        <f aca="false">IFERROR(__xludf.dummyfunction("""COMPUTED_VALUE"""),"Гапоненко")</f>
        <v>Гапоненко</v>
      </c>
      <c r="C132" s="0" t="str">
        <f aca="false">IFERROR(__xludf.dummyfunction("""COMPUTED_VALUE"""),"Регина")</f>
        <v>Регина</v>
      </c>
      <c r="D132" s="0" t="n">
        <f aca="false">IFERROR(__xludf.dummyfunction("""COMPUTED_VALUE"""),10)</f>
        <v>10</v>
      </c>
      <c r="E132" s="0" t="n">
        <f aca="false">IFERROR(__xludf.dummyfunction("""COMPUTED_VALUE"""),56)</f>
        <v>56</v>
      </c>
      <c r="G132" s="12" t="str">
        <f aca="false">IFERROR(__xludf.dummyfunction("""COMPUTED_VALUE"""),"vk.com/id152857098")</f>
        <v>vk.com/id152857098</v>
      </c>
      <c r="H132" s="0" t="str">
        <f aca="false">IFERROR(__xludf.dummyfunction("""COMPUTED_VALUE"""),"gregina2000@mail.ru")</f>
        <v>gregina2000@mail.ru</v>
      </c>
      <c r="I132" s="0" t="str">
        <f aca="false">IFERROR(__xludf.dummyfunction("""COMPUTED_VALUE"""),"Меня не будет в эту половину")</f>
        <v>Меня не будет в эту половину</v>
      </c>
      <c r="J132" s="0" t="str">
        <f aca="false">IFERROR(__xludf.dummyfunction("""COMPUTED_VALUE"""),"Введение в российское право")</f>
        <v>Введение в российское право</v>
      </c>
      <c r="K132" s="0" t="str">
        <f aca="false">IFERROR(__xludf.dummyfunction("""COMPUTED_VALUE"""),"Нет")</f>
        <v>Нет</v>
      </c>
      <c r="L132" s="0" t="str">
        <f aca="false">IFERROR(__xludf.dummyfunction("""COMPUTED_VALUE"""),"будет")</f>
        <v>будет</v>
      </c>
    </row>
    <row r="133" customFormat="false" ht="15.75" hidden="false" customHeight="false" outlineLevel="0" collapsed="false">
      <c r="A133" s="11" t="n">
        <f aca="false">IFERROR(__xludf.dummyfunction("""COMPUTED_VALUE"""),43228.7277380671)</f>
        <v>43228.72774</v>
      </c>
      <c r="B133" s="0" t="str">
        <f aca="false">IFERROR(__xludf.dummyfunction("""COMPUTED_VALUE"""),"Крюкова")</f>
        <v>Крюкова</v>
      </c>
      <c r="C133" s="0" t="str">
        <f aca="false">IFERROR(__xludf.dummyfunction("""COMPUTED_VALUE"""),"Феодосия")</f>
        <v>Феодосия</v>
      </c>
      <c r="D133" s="0" t="n">
        <f aca="false">IFERROR(__xludf.dummyfunction("""COMPUTED_VALUE"""),9)</f>
        <v>9</v>
      </c>
      <c r="E133" s="0" t="n">
        <f aca="false">IFERROR(__xludf.dummyfunction("""COMPUTED_VALUE"""),64)</f>
        <v>64</v>
      </c>
      <c r="G133" s="12" t="str">
        <f aca="false">IFERROR(__xludf.dummyfunction("""COMPUTED_VALUE"""),"vk.com/kiparis_zelenenkiy")</f>
        <v>vk.com/kiparis_zelenenkiy</v>
      </c>
      <c r="H133" s="0" t="str">
        <f aca="false">IFERROR(__xludf.dummyfunction("""COMPUTED_VALUE"""),"611176@mail.ru")</f>
        <v>611176@mail.ru</v>
      </c>
      <c r="I133" s="0" t="str">
        <f aca="false">IFERROR(__xludf.dummyfunction("""COMPUTED_VALUE"""),"Биология")</f>
        <v>Биология</v>
      </c>
      <c r="J133" s="0" t="str">
        <f aca="false">IFERROR(__xludf.dummyfunction("""COMPUTED_VALUE"""),"Олимпиадная химия")</f>
        <v>Олимпиадная химия</v>
      </c>
      <c r="K133" s="0" t="str">
        <f aca="false">IFERROR(__xludf.dummyfunction("""COMPUTED_VALUE"""),"Нет")</f>
        <v>Нет</v>
      </c>
      <c r="L133" s="0" t="str">
        <f aca="false">IFERROR(__xludf.dummyfunction("""COMPUTED_VALUE"""),"будет")</f>
        <v>будет</v>
      </c>
      <c r="M133" s="1" t="n">
        <v>1</v>
      </c>
    </row>
    <row r="134" customFormat="false" ht="15.75" hidden="false" customHeight="false" outlineLevel="0" collapsed="false">
      <c r="A134" s="11" t="n">
        <f aca="false">IFERROR(__xludf.dummyfunction("""COMPUTED_VALUE"""),43228.8336673148)</f>
        <v>43228.83367</v>
      </c>
      <c r="B134" s="0" t="str">
        <f aca="false">IFERROR(__xludf.dummyfunction("""COMPUTED_VALUE"""),"Полищук")</f>
        <v>Полищук</v>
      </c>
      <c r="C134" s="0" t="str">
        <f aca="false">IFERROR(__xludf.dummyfunction("""COMPUTED_VALUE"""),"Мария")</f>
        <v>Мария</v>
      </c>
      <c r="D134" s="0" t="n">
        <f aca="false">IFERROR(__xludf.dummyfunction("""COMPUTED_VALUE"""),8)</f>
        <v>8</v>
      </c>
      <c r="E134" s="0" t="n">
        <f aca="false">IFERROR(__xludf.dummyfunction("""COMPUTED_VALUE"""),19)</f>
        <v>19</v>
      </c>
      <c r="F134" s="0" t="str">
        <f aca="false">IFERROR(__xludf.dummyfunction("""COMPUTED_VALUE"""),"Я не могу участвовать с начала школы, так как буду не в Омске, смогу участвовать с 8 июля. Сестра Александра Полищука :)")</f>
        <v>Я не могу участвовать с начала школы, так как буду не в Омске, смогу участвовать с 8 июля. Сестра Александра Полищука :)</v>
      </c>
      <c r="G134" s="12" t="str">
        <f aca="false">IFERROR(__xludf.dummyfunction("""COMPUTED_VALUE"""),"vk.com/id245076479")</f>
        <v>vk.com/id245076479</v>
      </c>
      <c r="H134" s="0" t="str">
        <f aca="false">IFERROR(__xludf.dummyfunction("""COMPUTED_VALUE"""),"anna_polischuk23@mail.ru")</f>
        <v>anna_polischuk23@mail.ru</v>
      </c>
      <c r="I134" s="0" t="str">
        <f aca="false">IFERROR(__xludf.dummyfunction("""COMPUTED_VALUE"""),"Олимпиадная математика")</f>
        <v>Олимпиадная математика</v>
      </c>
      <c r="J134" s="0" t="str">
        <f aca="false">IFERROR(__xludf.dummyfunction("""COMPUTED_VALUE"""),"Введение в анализ данных")</f>
        <v>Введение в анализ данных</v>
      </c>
      <c r="K134" s="0" t="str">
        <f aca="false">IFERROR(__xludf.dummyfunction("""COMPUTED_VALUE"""),"Нет")</f>
        <v>Нет</v>
      </c>
      <c r="L134" s="0" t="str">
        <f aca="false">IFERROR(__xludf.dummyfunction("""COMPUTED_VALUE"""),"будет")</f>
        <v>будет</v>
      </c>
    </row>
    <row r="135" customFormat="false" ht="15.75" hidden="false" customHeight="false" outlineLevel="0" collapsed="false">
      <c r="A135" s="11" t="n">
        <f aca="false">IFERROR(__xludf.dummyfunction("""COMPUTED_VALUE"""),43229.5072433333)</f>
        <v>43229.50724</v>
      </c>
      <c r="B135" s="0" t="str">
        <f aca="false">IFERROR(__xludf.dummyfunction("""COMPUTED_VALUE"""),"Ушаков")</f>
        <v>Ушаков</v>
      </c>
      <c r="C135" s="0" t="str">
        <f aca="false">IFERROR(__xludf.dummyfunction("""COMPUTED_VALUE"""),"Константин")</f>
        <v>Константин</v>
      </c>
      <c r="D135" s="0" t="n">
        <f aca="false">IFERROR(__xludf.dummyfunction("""COMPUTED_VALUE"""),11)</f>
        <v>11</v>
      </c>
      <c r="E135" s="0" t="n">
        <f aca="false">IFERROR(__xludf.dummyfunction("""COMPUTED_VALUE"""),64)</f>
        <v>64</v>
      </c>
      <c r="G135" s="12" t="str">
        <f aca="false">IFERROR(__xludf.dummyfunction("""COMPUTED_VALUE"""),"vk.com/werrewqr")</f>
        <v>vk.com/werrewqr</v>
      </c>
      <c r="H135" s="0" t="str">
        <f aca="false">IFERROR(__xludf.dummyfunction("""COMPUTED_VALUE"""),"ushk2010@yandex.ru")</f>
        <v>ushk2010@yandex.ru</v>
      </c>
      <c r="I135" s="0" t="str">
        <f aca="false">IFERROR(__xludf.dummyfunction("""COMPUTED_VALUE"""),"Программирование на arduino")</f>
        <v>Программирование на arduino</v>
      </c>
      <c r="J135" s="0" t="str">
        <f aca="false">IFERROR(__xludf.dummyfunction("""COMPUTED_VALUE"""),"Введение в роль элитных противостояний в истории")</f>
        <v>Введение в роль элитных противостояний в истории</v>
      </c>
      <c r="K135" s="0" t="str">
        <f aca="false">IFERROR(__xludf.dummyfunction("""COMPUTED_VALUE"""),"Да")</f>
        <v>Да</v>
      </c>
      <c r="L135" s="0" t="str">
        <f aca="false">IFERROR(__xludf.dummyfunction("""COMPUTED_VALUE"""),"будет")</f>
        <v>будет</v>
      </c>
      <c r="M135" s="1" t="n">
        <v>1</v>
      </c>
    </row>
    <row r="136" customFormat="false" ht="15.75" hidden="false" customHeight="false" outlineLevel="0" collapsed="false">
      <c r="A136" s="11" t="n">
        <f aca="false">IFERROR(__xludf.dummyfunction("""COMPUTED_VALUE"""),43239.5072453704)</f>
        <v>43239.50725</v>
      </c>
      <c r="B136" s="0" t="str">
        <f aca="false">IFERROR(__xludf.dummyfunction("""COMPUTED_VALUE"""),"Смирнов")</f>
        <v>Смирнов</v>
      </c>
      <c r="C136" s="0" t="str">
        <f aca="false">IFERROR(__xludf.dummyfunction("""COMPUTED_VALUE"""),"Милаил")</f>
        <v>Милаил</v>
      </c>
      <c r="D136" s="0" t="n">
        <f aca="false">IFERROR(__xludf.dummyfunction("""COMPUTED_VALUE"""),8)</f>
        <v>8</v>
      </c>
      <c r="E136" s="0" t="n">
        <f aca="false">IFERROR(__xludf.dummyfunction("""COMPUTED_VALUE"""),117)</f>
        <v>117</v>
      </c>
      <c r="G136" s="12" t="str">
        <f aca="false">IFERROR(__xludf.dummyfunction("""COMPUTED_VALUE"""),"vk.com/id383760243")</f>
        <v>vk.com/id383760243</v>
      </c>
      <c r="I136" s="0" t="str">
        <f aca="false">IFERROR(__xludf.dummyfunction("""COMPUTED_VALUE"""),"Теория игр")</f>
        <v>Теория игр</v>
      </c>
      <c r="J136" s="0" t="str">
        <f aca="false">IFERROR(__xludf.dummyfunction("""COMPUTED_VALUE"""),"Теория вероятностей")</f>
        <v>Теория вероятностей</v>
      </c>
      <c r="K136" s="0" t="str">
        <f aca="false">IFERROR(__xludf.dummyfunction("""COMPUTED_VALUE"""),"Нет")</f>
        <v>Нет</v>
      </c>
      <c r="L136" s="0" t="str">
        <f aca="false">IFERROR(__xludf.dummyfunction("""COMPUTED_VALUE"""),"будет")</f>
        <v>будет</v>
      </c>
      <c r="M136" s="1" t="n">
        <v>1</v>
      </c>
    </row>
    <row r="137" customFormat="false" ht="15.75" hidden="false" customHeight="false" outlineLevel="0" collapsed="false">
      <c r="B137" s="0" t="str">
        <f aca="false">IFERROR(__xludf.dummyfunction("""COMPUTED_VALUE"""),"Таушкина")</f>
        <v>Таушкина</v>
      </c>
      <c r="C137" s="0" t="str">
        <f aca="false">IFERROR(__xludf.dummyfunction("""COMPUTED_VALUE"""),"Люба")</f>
        <v>Люба</v>
      </c>
      <c r="D137" s="0" t="n">
        <f aca="false">IFERROR(__xludf.dummyfunction("""COMPUTED_VALUE"""),10)</f>
        <v>10</v>
      </c>
      <c r="E137" s="0" t="n">
        <f aca="false">IFERROR(__xludf.dummyfunction("""COMPUTED_VALUE"""),117)</f>
        <v>117</v>
      </c>
      <c r="G137" s="12" t="str">
        <f aca="false">IFERROR(__xludf.dummyfunction("""COMPUTED_VALUE"""),"https://vk.com/mylucky_strike")</f>
        <v>https://vk.com/mylucky_strike</v>
      </c>
      <c r="I137" s="0" t="str">
        <f aca="false">IFERROR(__xludf.dummyfunction("""COMPUTED_VALUE"""),"Социология")</f>
        <v>Социология</v>
      </c>
      <c r="J137" s="0" t="str">
        <f aca="false">IFERROR(__xludf.dummyfunction("""COMPUTED_VALUE"""),"Биология")</f>
        <v>Биология</v>
      </c>
      <c r="K137" s="0" t="str">
        <f aca="false">IFERROR(__xludf.dummyfunction("""COMPUTED_VALUE"""),"Нет")</f>
        <v>Нет</v>
      </c>
      <c r="L137" s="0" t="str">
        <f aca="false">IFERROR(__xludf.dummyfunction("""COMPUTED_VALUE"""),"будет")</f>
        <v>будет</v>
      </c>
    </row>
    <row r="138" customFormat="false" ht="15.75" hidden="false" customHeight="false" outlineLevel="0" collapsed="false">
      <c r="B138" s="0" t="str">
        <f aca="false">IFERROR(__xludf.dummyfunction("""COMPUTED_VALUE"""),"Сушкова")</f>
        <v>Сушкова</v>
      </c>
      <c r="C138" s="0" t="str">
        <f aca="false">IFERROR(__xludf.dummyfunction("""COMPUTED_VALUE"""),"Ксения")</f>
        <v>Ксения</v>
      </c>
      <c r="D138" s="0" t="n">
        <f aca="false">IFERROR(__xludf.dummyfunction("""COMPUTED_VALUE"""),7)</f>
        <v>7</v>
      </c>
      <c r="E138" s="0" t="n">
        <f aca="false">IFERROR(__xludf.dummyfunction("""COMPUTED_VALUE"""),117)</f>
        <v>117</v>
      </c>
      <c r="G138" s="12" t="str">
        <f aca="false">IFERROR(__xludf.dummyfunction("""COMPUTED_VALUE"""),"https://vk.com/id409884286")</f>
        <v>https://vk.com/id409884286</v>
      </c>
      <c r="I138" s="0" t="str">
        <f aca="false">IFERROR(__xludf.dummyfunction("""COMPUTED_VALUE"""),"Олимпиадная математика")</f>
        <v>Олимпиадная математика</v>
      </c>
      <c r="J138" s="0" t="str">
        <f aca="false">IFERROR(__xludf.dummyfunction("""COMPUTED_VALUE"""),"Введение в российское право")</f>
        <v>Введение в российское право</v>
      </c>
      <c r="K138" s="0" t="str">
        <f aca="false">IFERROR(__xludf.dummyfunction("""COMPUTED_VALUE"""),"Нет")</f>
        <v>Нет</v>
      </c>
      <c r="L138" s="0" t="str">
        <f aca="false">IFERROR(__xludf.dummyfunction("""COMPUTED_VALUE"""),"будет")</f>
        <v>будет</v>
      </c>
      <c r="M138" s="1" t="n">
        <v>1</v>
      </c>
    </row>
    <row r="139" customFormat="false" ht="15.75" hidden="false" customHeight="false" outlineLevel="0" collapsed="false">
      <c r="B139" s="0" t="str">
        <f aca="false">IFERROR(__xludf.dummyfunction("""COMPUTED_VALUE"""),"Полякова")</f>
        <v>Полякова</v>
      </c>
      <c r="C139" s="0" t="str">
        <f aca="false">IFERROR(__xludf.dummyfunction("""COMPUTED_VALUE"""),"Даша")</f>
        <v>Даша</v>
      </c>
      <c r="D139" s="0" t="n">
        <f aca="false">IFERROR(__xludf.dummyfunction("""COMPUTED_VALUE"""),10)</f>
        <v>10</v>
      </c>
      <c r="E139" s="0" t="n">
        <f aca="false">IFERROR(__xludf.dummyfunction("""COMPUTED_VALUE"""),117)</f>
        <v>117</v>
      </c>
      <c r="G139" s="12" t="str">
        <f aca="false">IFERROR(__xludf.dummyfunction("""COMPUTED_VALUE"""),"https://vk.com/d.polyakova1")</f>
        <v>https://vk.com/d.polyakova1</v>
      </c>
      <c r="I139" s="0" t="str">
        <f aca="false">IFERROR(__xludf.dummyfunction("""COMPUTED_VALUE"""),"Социология")</f>
        <v>Социология</v>
      </c>
      <c r="J139" s="0" t="str">
        <f aca="false">IFERROR(__xludf.dummyfunction("""COMPUTED_VALUE"""),"Введение в российское право")</f>
        <v>Введение в российское право</v>
      </c>
      <c r="K139" s="0" t="str">
        <f aca="false">IFERROR(__xludf.dummyfunction("""COMPUTED_VALUE"""),"Нет")</f>
        <v>Нет</v>
      </c>
      <c r="L139" s="0" t="str">
        <f aca="false">IFERROR(__xludf.dummyfunction("""COMPUTED_VALUE"""),"будет")</f>
        <v>будет</v>
      </c>
      <c r="M139" s="1" t="n">
        <v>1</v>
      </c>
    </row>
    <row r="140" customFormat="false" ht="15.75" hidden="false" customHeight="false" outlineLevel="0" collapsed="false">
      <c r="B140" s="0" t="str">
        <f aca="false">IFERROR(__xludf.dummyfunction("""COMPUTED_VALUE"""),"Кайданович")</f>
        <v>Кайданович</v>
      </c>
      <c r="C140" s="0" t="str">
        <f aca="false">IFERROR(__xludf.dummyfunction("""COMPUTED_VALUE"""),"Дарья")</f>
        <v>Дарья</v>
      </c>
      <c r="D140" s="0" t="n">
        <f aca="false">IFERROR(__xludf.dummyfunction("""COMPUTED_VALUE"""),8)</f>
        <v>8</v>
      </c>
      <c r="E140" s="0" t="n">
        <f aca="false">IFERROR(__xludf.dummyfunction("""COMPUTED_VALUE"""),149)</f>
        <v>149</v>
      </c>
      <c r="I140" s="0" t="str">
        <f aca="false">IFERROR(__xludf.dummyfunction("""COMPUTED_VALUE"""),"Биология")</f>
        <v>Биология</v>
      </c>
      <c r="J140" s="0" t="str">
        <f aca="false">IFERROR(__xludf.dummyfunction("""COMPUTED_VALUE"""),"Введение в российское право")</f>
        <v>Введение в российское право</v>
      </c>
      <c r="K140" s="0" t="str">
        <f aca="false">IFERROR(__xludf.dummyfunction("""COMPUTED_VALUE"""),"Нет")</f>
        <v>Нет</v>
      </c>
      <c r="L140" s="0" t="str">
        <f aca="false">IFERROR(__xludf.dummyfunction("""COMPUTED_VALUE"""),"будет")</f>
        <v>будет</v>
      </c>
      <c r="M140" s="1" t="n">
        <v>1</v>
      </c>
    </row>
    <row r="141" customFormat="false" ht="15.75" hidden="false" customHeight="false" outlineLevel="0" collapsed="false">
      <c r="B141" s="0" t="str">
        <f aca="false">IFERROR(__xludf.dummyfunction("""COMPUTED_VALUE"""),"Шестаков ")</f>
        <v>Шестаков</v>
      </c>
      <c r="C141" s="0" t="str">
        <f aca="false">IFERROR(__xludf.dummyfunction("""COMPUTED_VALUE"""),"Михаил")</f>
        <v>Михаил</v>
      </c>
      <c r="D141" s="0" t="n">
        <f aca="false">IFERROR(__xludf.dummyfunction("""COMPUTED_VALUE"""),9)</f>
        <v>9</v>
      </c>
      <c r="E141" s="0" t="n">
        <f aca="false">IFERROR(__xludf.dummyfunction("""COMPUTED_VALUE"""),149)</f>
        <v>149</v>
      </c>
      <c r="I141" s="0" t="str">
        <f aca="false">IFERROR(__xludf.dummyfunction("""COMPUTED_VALUE"""),"Введение в роль элитных противостояний в истории")</f>
        <v>Введение в роль элитных противостояний в истории</v>
      </c>
      <c r="J141" s="0" t="str">
        <f aca="false">IFERROR(__xludf.dummyfunction("""COMPUTED_VALUE"""),"Введение в российское право")</f>
        <v>Введение в российское право</v>
      </c>
      <c r="K141" s="0" t="str">
        <f aca="false">IFERROR(__xludf.dummyfunction("""COMPUTED_VALUE"""),"Нет")</f>
        <v>Нет</v>
      </c>
      <c r="L141" s="0" t="str">
        <f aca="false">IFERROR(__xludf.dummyfunction("""COMPUTED_VALUE"""),"будет")</f>
        <v>будет</v>
      </c>
      <c r="M141" s="1" t="n">
        <v>1</v>
      </c>
    </row>
    <row r="142" customFormat="false" ht="15.75" hidden="false" customHeight="false" outlineLevel="0" collapsed="false">
      <c r="B142" s="0" t="str">
        <f aca="false">IFERROR(__xludf.dummyfunction("""COMPUTED_VALUE"""),"Патронова")</f>
        <v>Патронова</v>
      </c>
      <c r="C142" s="0" t="str">
        <f aca="false">IFERROR(__xludf.dummyfunction("""COMPUTED_VALUE"""),"Елизавета")</f>
        <v>Елизавета</v>
      </c>
      <c r="D142" s="0" t="n">
        <f aca="false">IFERROR(__xludf.dummyfunction("""COMPUTED_VALUE"""),10)</f>
        <v>10</v>
      </c>
      <c r="E142" s="0" t="n">
        <f aca="false">IFERROR(__xludf.dummyfunction("""COMPUTED_VALUE"""),115)</f>
        <v>115</v>
      </c>
      <c r="G142" s="12" t="str">
        <f aca="false">IFERROR(__xludf.dummyfunction("""COMPUTED_VALUE"""),"https://vk.com/id306756810")</f>
        <v>https://vk.com/id306756810</v>
      </c>
      <c r="I142" s="0" t="str">
        <f aca="false">IFERROR(__xludf.dummyfunction("""COMPUTED_VALUE"""),"Олимпиадная химия")</f>
        <v>Олимпиадная химия</v>
      </c>
      <c r="J142" s="0" t="str">
        <f aca="false">IFERROR(__xludf.dummyfunction("""COMPUTED_VALUE"""),"Границы применимости физических моделей")</f>
        <v>Границы применимости физических моделей</v>
      </c>
      <c r="K142" s="0" t="str">
        <f aca="false">IFERROR(__xludf.dummyfunction("""COMPUTED_VALUE"""),"Нет")</f>
        <v>Нет</v>
      </c>
      <c r="L142" s="0" t="str">
        <f aca="false">IFERROR(__xludf.dummyfunction("""COMPUTED_VALUE"""),"будет")</f>
        <v>будет</v>
      </c>
      <c r="M142" s="1" t="n">
        <v>1</v>
      </c>
    </row>
    <row r="143" customFormat="false" ht="15.75" hidden="false" customHeight="false" outlineLevel="0" collapsed="false">
      <c r="B143" s="0" t="str">
        <f aca="false">IFERROR(__xludf.dummyfunction("""COMPUTED_VALUE"""),"Кузин")</f>
        <v>Кузин</v>
      </c>
      <c r="C143" s="0" t="str">
        <f aca="false">IFERROR(__xludf.dummyfunction("""COMPUTED_VALUE"""),"Никита")</f>
        <v>Никита</v>
      </c>
      <c r="D143" s="0" t="n">
        <f aca="false">IFERROR(__xludf.dummyfunction("""COMPUTED_VALUE"""),10)</f>
        <v>10</v>
      </c>
      <c r="E143" s="0" t="n">
        <f aca="false">IFERROR(__xludf.dummyfunction("""COMPUTED_VALUE"""),149)</f>
        <v>149</v>
      </c>
      <c r="G143" s="12" t="str">
        <f aca="false">IFERROR(__xludf.dummyfunction("""COMPUTED_VALUE"""),"https://vk.com/shdoo")</f>
        <v>https://vk.com/shdoo</v>
      </c>
      <c r="I143" s="0" t="str">
        <f aca="false">IFERROR(__xludf.dummyfunction("""COMPUTED_VALUE"""),"Введение в роль элитных противостояний в истории")</f>
        <v>Введение в роль элитных противостояний в истории</v>
      </c>
      <c r="J143" s="0" t="str">
        <f aca="false">IFERROR(__xludf.dummyfunction("""COMPUTED_VALUE"""),"Границы применимости физических моделей")</f>
        <v>Границы применимости физических моделей</v>
      </c>
      <c r="K143" s="0" t="str">
        <f aca="false">IFERROR(__xludf.dummyfunction("""COMPUTED_VALUE"""),"Нет")</f>
        <v>Нет</v>
      </c>
      <c r="L143" s="0" t="str">
        <f aca="false">IFERROR(__xludf.dummyfunction("""COMPUTED_VALUE"""),"будет")</f>
        <v>будет</v>
      </c>
      <c r="M143" s="1" t="n">
        <v>1</v>
      </c>
    </row>
    <row r="144" customFormat="false" ht="15.75" hidden="false" customHeight="false" outlineLevel="0" collapsed="false">
      <c r="B144" s="0" t="str">
        <f aca="false">IFERROR(__xludf.dummyfunction("""COMPUTED_VALUE"""),"Кузин")</f>
        <v>Кузин</v>
      </c>
      <c r="C144" s="0" t="str">
        <f aca="false">IFERROR(__xludf.dummyfunction("""COMPUTED_VALUE"""),"Илья")</f>
        <v>Илья</v>
      </c>
      <c r="D144" s="0" t="n">
        <f aca="false">IFERROR(__xludf.dummyfunction("""COMPUTED_VALUE"""),10)</f>
        <v>10</v>
      </c>
      <c r="E144" s="0" t="n">
        <f aca="false">IFERROR(__xludf.dummyfunction("""COMPUTED_VALUE"""),149)</f>
        <v>149</v>
      </c>
      <c r="G144" s="12" t="str">
        <f aca="false">IFERROR(__xludf.dummyfunction("""COMPUTED_VALUE"""),"https://vk.com/ilya_kuzin")</f>
        <v>https://vk.com/ilya_kuzin</v>
      </c>
      <c r="I144" s="0" t="str">
        <f aca="false">IFERROR(__xludf.dummyfunction("""COMPUTED_VALUE"""),"Введение в роль элитных противостояний в истории")</f>
        <v>Введение в роль элитных противостояний в истории</v>
      </c>
      <c r="J144" s="0" t="str">
        <f aca="false">IFERROR(__xludf.dummyfunction("""COMPUTED_VALUE"""),"Границы применимости физических моделей")</f>
        <v>Границы применимости физических моделей</v>
      </c>
      <c r="K144" s="0" t="str">
        <f aca="false">IFERROR(__xludf.dummyfunction("""COMPUTED_VALUE"""),"Нет")</f>
        <v>Нет</v>
      </c>
      <c r="L144" s="0" t="str">
        <f aca="false">IFERROR(__xludf.dummyfunction("""COMPUTED_VALUE"""),"будет")</f>
        <v>будет</v>
      </c>
    </row>
    <row r="145" customFormat="false" ht="15.75" hidden="false" customHeight="false" outlineLevel="0" collapsed="false">
      <c r="B145" s="0" t="str">
        <f aca="false">IFERROR(__xludf.dummyfunction("""COMPUTED_VALUE"""),"Козловская")</f>
        <v>Козловская</v>
      </c>
      <c r="C145" s="0" t="str">
        <f aca="false">IFERROR(__xludf.dummyfunction("""COMPUTED_VALUE"""),"Мария")</f>
        <v>Мария</v>
      </c>
      <c r="D145" s="0" t="n">
        <f aca="false">IFERROR(__xludf.dummyfunction("""COMPUTED_VALUE"""),9)</f>
        <v>9</v>
      </c>
      <c r="E145" s="0" t="n">
        <f aca="false">IFERROR(__xludf.dummyfunction("""COMPUTED_VALUE"""),149)</f>
        <v>149</v>
      </c>
      <c r="G145" s="12" t="str">
        <f aca="false">IFERROR(__xludf.dummyfunction("""COMPUTED_VALUE"""),"https://vk.com/mariasmb")</f>
        <v>https://vk.com/mariasmb</v>
      </c>
      <c r="I145" s="0" t="str">
        <f aca="false">IFERROR(__xludf.dummyfunction("""COMPUTED_VALUE"""),"Социология")</f>
        <v>Социология</v>
      </c>
      <c r="J145" s="0" t="str">
        <f aca="false">IFERROR(__xludf.dummyfunction("""COMPUTED_VALUE"""),"Олимпиадная математика")</f>
        <v>Олимпиадная математика</v>
      </c>
      <c r="K145" s="0" t="str">
        <f aca="false">IFERROR(__xludf.dummyfunction("""COMPUTED_VALUE"""),"Нет")</f>
        <v>Нет</v>
      </c>
      <c r="L145" s="0" t="str">
        <f aca="false">IFERROR(__xludf.dummyfunction("""COMPUTED_VALUE"""),"будет")</f>
        <v>будет</v>
      </c>
    </row>
    <row r="146" customFormat="false" ht="15.75" hidden="false" customHeight="false" outlineLevel="0" collapsed="false">
      <c r="B146" s="0" t="str">
        <f aca="false">IFERROR(__xludf.dummyfunction("""COMPUTED_VALUE"""),"Булатова")</f>
        <v>Булатова</v>
      </c>
      <c r="C146" s="0" t="str">
        <f aca="false">IFERROR(__xludf.dummyfunction("""COMPUTED_VALUE"""),"Виталия")</f>
        <v>Виталия</v>
      </c>
      <c r="D146" s="0" t="n">
        <f aca="false">IFERROR(__xludf.dummyfunction("""COMPUTED_VALUE"""),9)</f>
        <v>9</v>
      </c>
      <c r="E146" s="0" t="n">
        <f aca="false">IFERROR(__xludf.dummyfunction("""COMPUTED_VALUE"""),117)</f>
        <v>117</v>
      </c>
      <c r="I146" s="0" t="str">
        <f aca="false">IFERROR(__xludf.dummyfunction("""COMPUTED_VALUE"""),"Олимпиадная химия")</f>
        <v>Олимпиадная химия</v>
      </c>
      <c r="J146" s="0" t="str">
        <f aca="false">IFERROR(__xludf.dummyfunction("""COMPUTED_VALUE"""),"Олимпиадная математика")</f>
        <v>Олимпиадная математика</v>
      </c>
      <c r="K146" s="0" t="str">
        <f aca="false">IFERROR(__xludf.dummyfunction("""COMPUTED_VALUE"""),"Нет")</f>
        <v>Нет</v>
      </c>
      <c r="L146" s="0" t="str">
        <f aca="false">IFERROR(__xludf.dummyfunction("""COMPUTED_VALUE"""),"будет")</f>
        <v>будет</v>
      </c>
    </row>
    <row r="147" customFormat="false" ht="15.75" hidden="false" customHeight="false" outlineLevel="0" collapsed="false">
      <c r="B147" s="0" t="str">
        <f aca="false">IFERROR(__xludf.dummyfunction("""COMPUTED_VALUE"""),"Белозеров")</f>
        <v>Белозеров</v>
      </c>
      <c r="C147" s="0" t="str">
        <f aca="false">IFERROR(__xludf.dummyfunction("""COMPUTED_VALUE"""),"Семен")</f>
        <v>Семен</v>
      </c>
      <c r="D147" s="0" t="n">
        <f aca="false">IFERROR(__xludf.dummyfunction("""COMPUTED_VALUE"""),9)</f>
        <v>9</v>
      </c>
      <c r="E147" s="0" t="n">
        <f aca="false">IFERROR(__xludf.dummyfunction("""COMPUTED_VALUE"""),117)</f>
        <v>117</v>
      </c>
      <c r="I147" s="0" t="str">
        <f aca="false">IFERROR(__xludf.dummyfunction("""COMPUTED_VALUE"""),"Теория игр")</f>
        <v>Теория игр</v>
      </c>
      <c r="J147" s="0" t="str">
        <f aca="false">IFERROR(__xludf.dummyfunction("""COMPUTED_VALUE"""),"Олимпиадная математика")</f>
        <v>Олимпиадная математика</v>
      </c>
      <c r="K147" s="0" t="str">
        <f aca="false">IFERROR(__xludf.dummyfunction("""COMPUTED_VALUE"""),"Нет")</f>
        <v>Нет</v>
      </c>
      <c r="L147" s="0" t="str">
        <f aca="false">IFERROR(__xludf.dummyfunction("""COMPUTED_VALUE"""),"будет")</f>
        <v>будет</v>
      </c>
    </row>
    <row r="148" customFormat="false" ht="15.75" hidden="false" customHeight="false" outlineLevel="0" collapsed="false">
      <c r="B148" s="0" t="str">
        <f aca="false">IFERROR(__xludf.dummyfunction("""COMPUTED_VALUE"""),"Ефимова")</f>
        <v>Ефимова</v>
      </c>
      <c r="C148" s="0" t="str">
        <f aca="false">IFERROR(__xludf.dummyfunction("""COMPUTED_VALUE"""),"Екатерина")</f>
        <v>Екатерина</v>
      </c>
      <c r="D148" s="0" t="n">
        <f aca="false">IFERROR(__xludf.dummyfunction("""COMPUTED_VALUE"""),8)</f>
        <v>8</v>
      </c>
      <c r="E148" s="0" t="n">
        <f aca="false">IFERROR(__xludf.dummyfunction("""COMPUTED_VALUE"""),25)</f>
        <v>25</v>
      </c>
      <c r="I148" s="0" t="str">
        <f aca="false">IFERROR(__xludf.dummyfunction("""COMPUTED_VALUE"""),"Олимпиадная математика")</f>
        <v>Олимпиадная математика</v>
      </c>
      <c r="J148" s="0" t="str">
        <f aca="false">IFERROR(__xludf.dummyfunction("""COMPUTED_VALUE"""),"Теория вероятностей")</f>
        <v>Теория вероятностей</v>
      </c>
      <c r="K148" s="0" t="str">
        <f aca="false">IFERROR(__xludf.dummyfunction("""COMPUTED_VALUE"""),"Да")</f>
        <v>Да</v>
      </c>
      <c r="L148" s="0" t="str">
        <f aca="false">IFERROR(__xludf.dummyfunction("""COMPUTED_VALUE"""),"будет")</f>
        <v>будет</v>
      </c>
    </row>
    <row r="149" customFormat="false" ht="15.75" hidden="false" customHeight="false" outlineLevel="0" collapsed="false">
      <c r="B149" s="0" t="str">
        <f aca="false">IFERROR(__xludf.dummyfunction("""COMPUTED_VALUE"""),"Измайлов")</f>
        <v>Измайлов</v>
      </c>
      <c r="C149" s="0" t="str">
        <f aca="false">IFERROR(__xludf.dummyfunction("""COMPUTED_VALUE"""),"Матвей")</f>
        <v>Матвей</v>
      </c>
      <c r="D149" s="0" t="n">
        <f aca="false">IFERROR(__xludf.dummyfunction("""COMPUTED_VALUE"""),9)</f>
        <v>9</v>
      </c>
      <c r="E149" s="0" t="n">
        <f aca="false">IFERROR(__xludf.dummyfunction("""COMPUTED_VALUE"""),64)</f>
        <v>64</v>
      </c>
      <c r="I149" s="0" t="str">
        <f aca="false">IFERROR(__xludf.dummyfunction("""COMPUTED_VALUE"""),"Биология")</f>
        <v>Биология</v>
      </c>
      <c r="J149" s="0" t="str">
        <f aca="false">IFERROR(__xludf.dummyfunction("""COMPUTED_VALUE"""),"Химия")</f>
        <v>Химия</v>
      </c>
      <c r="K149" s="0" t="str">
        <f aca="false">IFERROR(__xludf.dummyfunction("""COMPUTED_VALUE"""),"Нет")</f>
        <v>Нет</v>
      </c>
      <c r="L149" s="0" t="str">
        <f aca="false">IFERROR(__xludf.dummyfunction("""COMPUTED_VALUE"""),"будет")</f>
        <v>будет</v>
      </c>
    </row>
    <row r="150" customFormat="false" ht="15.75" hidden="false" customHeight="false" outlineLevel="0" collapsed="false">
      <c r="B150" s="0" t="str">
        <f aca="false">IFERROR(__xludf.dummyfunction("""COMPUTED_VALUE"""),"Кохлов")</f>
        <v>Кохлов</v>
      </c>
      <c r="C150" s="0" t="str">
        <f aca="false">IFERROR(__xludf.dummyfunction("""COMPUTED_VALUE"""),"Александр")</f>
        <v>Александр</v>
      </c>
      <c r="D150" s="0" t="n">
        <f aca="false">IFERROR(__xludf.dummyfunction("""COMPUTED_VALUE"""),7)</f>
        <v>7</v>
      </c>
      <c r="E150" s="0" t="n">
        <f aca="false">IFERROR(__xludf.dummyfunction("""COMPUTED_VALUE"""),117)</f>
        <v>117</v>
      </c>
      <c r="G150" s="12" t="str">
        <f aca="false">IFERROR(__xludf.dummyfunction("""COMPUTED_VALUE"""),"vk.com/sasashasas")</f>
        <v>vk.com/sasashasas</v>
      </c>
      <c r="I150" s="0" t="str">
        <f aca="false">IFERROR(__xludf.dummyfunction("""COMPUTED_VALUE"""),"Теория игр")</f>
        <v>Теория игр</v>
      </c>
      <c r="K150" s="0" t="str">
        <f aca="false">IFERROR(__xludf.dummyfunction("""COMPUTED_VALUE"""),"Нет")</f>
        <v>Нет</v>
      </c>
      <c r="L150" s="0" t="str">
        <f aca="false">IFERROR(__xludf.dummyfunction("""COMPUTED_VALUE"""),"будет")</f>
        <v>будет</v>
      </c>
    </row>
    <row r="151" customFormat="false" ht="15.75" hidden="false" customHeight="false" outlineLevel="0" collapsed="false">
      <c r="B151" s="0" t="str">
        <f aca="false">IFERROR(__xludf.dummyfunction("""COMPUTED_VALUE"""),"Оленева")</f>
        <v>Оленева</v>
      </c>
      <c r="C151" s="0" t="str">
        <f aca="false">IFERROR(__xludf.dummyfunction("""COMPUTED_VALUE"""),"Елизавета")</f>
        <v>Елизавета</v>
      </c>
      <c r="D151" s="0" t="n">
        <f aca="false">IFERROR(__xludf.dummyfunction("""COMPUTED_VALUE"""),9)</f>
        <v>9</v>
      </c>
      <c r="E151" s="0" t="n">
        <f aca="false">IFERROR(__xludf.dummyfunction("""COMPUTED_VALUE"""),117)</f>
        <v>117</v>
      </c>
      <c r="F151" s="0" t="str">
        <f aca="false">IFERROR(__xludf.dummyfunction("""COMPUTED_VALUE"""),"Последние 3 дня")</f>
        <v>Последние 3 дня</v>
      </c>
      <c r="G151" s="12" t="str">
        <f aca="false">IFERROR(__xludf.dummyfunction("""COMPUTED_VALUE"""),"https://vk.com/fuyock")</f>
        <v>https://vk.com/fuyock</v>
      </c>
      <c r="I151" s="0" t="str">
        <f aca="false">IFERROR(__xludf.dummyfunction("""COMPUTED_VALUE"""),"Меня не будет в эту половину")</f>
        <v>Меня не будет в эту половину</v>
      </c>
      <c r="J151" s="0" t="str">
        <f aca="false">IFERROR(__xludf.dummyfunction("""COMPUTED_VALUE"""),"Экономическое мышление и никакой математики!")</f>
        <v>Экономическое мышление и никакой математики!</v>
      </c>
      <c r="K151" s="0" t="str">
        <f aca="false">IFERROR(__xludf.dummyfunction("""COMPUTED_VALUE"""),"Нет")</f>
        <v>Нет</v>
      </c>
      <c r="L151" s="0" t="str">
        <f aca="false">IFERROR(__xludf.dummyfunction("""COMPUTED_VALUE"""),"будет")</f>
        <v>будет</v>
      </c>
    </row>
    <row r="152" customFormat="false" ht="15.75" hidden="false" customHeight="false" outlineLevel="0" collapsed="false">
      <c r="A152" s="38"/>
      <c r="B152" s="0" t="str">
        <f aca="false">IFERROR(__xludf.dummyfunction("""COMPUTED_VALUE"""),"Рождественская ")</f>
        <v>Рождественская</v>
      </c>
      <c r="C152" s="0" t="str">
        <f aca="false">IFERROR(__xludf.dummyfunction("""COMPUTED_VALUE"""),"Мария")</f>
        <v>Мария</v>
      </c>
      <c r="D152" s="0" t="n">
        <f aca="false">IFERROR(__xludf.dummyfunction("""COMPUTED_VALUE"""),9)</f>
        <v>9</v>
      </c>
      <c r="E152" s="0" t="n">
        <f aca="false">IFERROR(__xludf.dummyfunction("""COMPUTED_VALUE"""),115)</f>
        <v>115</v>
      </c>
      <c r="G152" s="12" t="str">
        <f aca="false">IFERROR(__xludf.dummyfunction("""COMPUTED_VALUE"""),"https://vk.com/m.christmas27")</f>
        <v>https://vk.com/m.christmas27</v>
      </c>
      <c r="I152" s="0" t="str">
        <f aca="false">IFERROR(__xludf.dummyfunction("""COMPUTED_VALUE"""),"Международное право")</f>
        <v>Международное право</v>
      </c>
      <c r="J152" s="0" t="str">
        <f aca="false">IFERROR(__xludf.dummyfunction("""COMPUTED_VALUE"""),"Введение в роль элитных противостояний в истории")</f>
        <v>Введение в роль элитных противостояний в истории</v>
      </c>
      <c r="K152" s="0" t="str">
        <f aca="false">IFERROR(__xludf.dummyfunction("""COMPUTED_VALUE"""),"Нет")</f>
        <v>Нет</v>
      </c>
      <c r="L152" s="0" t="str">
        <f aca="false">IFERROR(__xludf.dummyfunction("""COMPUTED_VALUE"""),"будет")</f>
        <v>будет</v>
      </c>
    </row>
    <row r="153" customFormat="false" ht="15.75" hidden="false" customHeight="false" outlineLevel="0" collapsed="false">
      <c r="A153" s="38"/>
      <c r="B153" s="0" t="str">
        <f aca="false">IFERROR(__xludf.dummyfunction("""COMPUTED_VALUE"""),"Дмитриенко")</f>
        <v>Дмитриенко</v>
      </c>
      <c r="C153" s="0" t="str">
        <f aca="false">IFERROR(__xludf.dummyfunction("""COMPUTED_VALUE"""),"Александр")</f>
        <v>Александр</v>
      </c>
      <c r="D153" s="0" t="n">
        <f aca="false">IFERROR(__xludf.dummyfunction("""COMPUTED_VALUE"""),9)</f>
        <v>9</v>
      </c>
      <c r="E153" s="0" t="n">
        <f aca="false">IFERROR(__xludf.dummyfunction("""COMPUTED_VALUE"""),117)</f>
        <v>117</v>
      </c>
      <c r="G153" s="12" t="str">
        <f aca="false">IFERROR(__xludf.dummyfunction("""COMPUTED_VALUE"""),"https://vk.com/alexandrinioo")</f>
        <v>https://vk.com/alexandrinioo</v>
      </c>
      <c r="I153" s="0" t="str">
        <f aca="false">IFERROR(__xludf.dummyfunction("""COMPUTED_VALUE"""),"Олимпиадная химия")</f>
        <v>Олимпиадная химия</v>
      </c>
      <c r="J153" s="0" t="str">
        <f aca="false">IFERROR(__xludf.dummyfunction("""COMPUTED_VALUE"""),"Олимпиадная математика")</f>
        <v>Олимпиадная математика</v>
      </c>
      <c r="K153" s="0" t="str">
        <f aca="false">IFERROR(__xludf.dummyfunction("""COMPUTED_VALUE"""),"Нет")</f>
        <v>Нет</v>
      </c>
      <c r="L153" s="0" t="str">
        <f aca="false">IFERROR(__xludf.dummyfunction("""COMPUTED_VALUE"""),"будет")</f>
        <v>будет</v>
      </c>
    </row>
    <row r="154" customFormat="false" ht="15.75" hidden="false" customHeight="false" outlineLevel="0" collapsed="false">
      <c r="A154" s="38"/>
      <c r="B154" s="0" t="str">
        <f aca="false">IFERROR(__xludf.dummyfunction("""COMPUTED_VALUE"""),"Никифоров ")</f>
        <v>Никифоров</v>
      </c>
      <c r="C154" s="0" t="str">
        <f aca="false">IFERROR(__xludf.dummyfunction("""COMPUTED_VALUE"""),"Лука")</f>
        <v>Лука</v>
      </c>
      <c r="D154" s="0" t="n">
        <f aca="false">IFERROR(__xludf.dummyfunction("""COMPUTED_VALUE"""),9)</f>
        <v>9</v>
      </c>
      <c r="E154" s="0" t="n">
        <f aca="false">IFERROR(__xludf.dummyfunction("""COMPUTED_VALUE"""),115)</f>
        <v>115</v>
      </c>
      <c r="G154" s="12" t="str">
        <f aca="false">IFERROR(__xludf.dummyfunction("""COMPUTED_VALUE"""),"https://vk.com/luka5s5")</f>
        <v>https://vk.com/luka5s5</v>
      </c>
      <c r="I154" s="0" t="str">
        <f aca="false">IFERROR(__xludf.dummyfunction("""COMPUTED_VALUE"""),"Олимпиадная математика")</f>
        <v>Олимпиадная математика</v>
      </c>
      <c r="J154" s="0" t="str">
        <f aca="false">IFERROR(__xludf.dummyfunction("""COMPUTED_VALUE"""),"Олимпиадное программирование")</f>
        <v>Олимпиадное программирование</v>
      </c>
      <c r="K154" s="0" t="str">
        <f aca="false">IFERROR(__xludf.dummyfunction("""COMPUTED_VALUE"""),"Да")</f>
        <v>Да</v>
      </c>
      <c r="L154" s="0" t="str">
        <f aca="false">IFERROR(__xludf.dummyfunction("""COMPUTED_VALUE"""),"будет")</f>
        <v>будет</v>
      </c>
    </row>
    <row r="155" customFormat="false" ht="15.75" hidden="false" customHeight="false" outlineLevel="0" collapsed="false">
      <c r="A155" s="38"/>
      <c r="B155" s="0" t="str">
        <f aca="false">IFERROR(__xludf.dummyfunction("""COMPUTED_VALUE"""),"Белим")</f>
        <v>Белим</v>
      </c>
      <c r="C155" s="0" t="str">
        <f aca="false">IFERROR(__xludf.dummyfunction("""COMPUTED_VALUE"""),"Екатерина")</f>
        <v>Екатерина</v>
      </c>
      <c r="D155" s="0" t="n">
        <f aca="false">IFERROR(__xludf.dummyfunction("""COMPUTED_VALUE"""),7)</f>
        <v>7</v>
      </c>
      <c r="E155" s="0" t="n">
        <f aca="false">IFERROR(__xludf.dummyfunction("""COMPUTED_VALUE"""),117)</f>
        <v>117</v>
      </c>
      <c r="G155" s="12" t="str">
        <f aca="false">IFERROR(__xludf.dummyfunction("""COMPUTED_VALUE"""),"https://vk.com/belimcatherine")</f>
        <v>https://vk.com/belimcatherine</v>
      </c>
      <c r="I155" s="0" t="str">
        <f aca="false">IFERROR(__xludf.dummyfunction("""COMPUTED_VALUE"""),"Олимпиадная математика")</f>
        <v>Олимпиадная математика</v>
      </c>
      <c r="J155" s="0" t="str">
        <f aca="false">IFERROR(__xludf.dummyfunction("""COMPUTED_VALUE"""),"Экономическое мышление и никакой математики!")</f>
        <v>Экономическое мышление и никакой математики!</v>
      </c>
      <c r="K155" s="0" t="str">
        <f aca="false">IFERROR(__xludf.dummyfunction("""COMPUTED_VALUE"""),"Нет")</f>
        <v>Нет</v>
      </c>
      <c r="L155" s="0" t="str">
        <f aca="false">IFERROR(__xludf.dummyfunction("""COMPUTED_VALUE"""),"будет")</f>
        <v>будет</v>
      </c>
    </row>
    <row r="156" customFormat="false" ht="15.75" hidden="false" customHeight="false" outlineLevel="0" collapsed="false">
      <c r="A156" s="38"/>
      <c r="B156" s="0" t="str">
        <f aca="false">IFERROR(__xludf.dummyfunction("""COMPUTED_VALUE"""),"Корнев ")</f>
        <v>Корнев</v>
      </c>
      <c r="C156" s="0" t="str">
        <f aca="false">IFERROR(__xludf.dummyfunction("""COMPUTED_VALUE"""),"Егор")</f>
        <v>Егор</v>
      </c>
      <c r="D156" s="0" t="n">
        <f aca="false">IFERROR(__xludf.dummyfunction("""COMPUTED_VALUE"""),9)</f>
        <v>9</v>
      </c>
      <c r="E156" s="0" t="n">
        <f aca="false">IFERROR(__xludf.dummyfunction("""COMPUTED_VALUE"""),149)</f>
        <v>149</v>
      </c>
      <c r="G156" s="12" t="str">
        <f aca="false">IFERROR(__xludf.dummyfunction("""COMPUTED_VALUE"""),"https://vk.com/keaker")</f>
        <v>https://vk.com/keaker</v>
      </c>
      <c r="I156" s="0" t="str">
        <f aca="false">IFERROR(__xludf.dummyfunction("""COMPUTED_VALUE"""),"Социология")</f>
        <v>Социология</v>
      </c>
      <c r="J156" s="0" t="str">
        <f aca="false">IFERROR(__xludf.dummyfunction("""COMPUTED_VALUE"""),"Экономическое мышление и никакой математики!")</f>
        <v>Экономическое мышление и никакой математики!</v>
      </c>
      <c r="K156" s="0" t="str">
        <f aca="false">IFERROR(__xludf.dummyfunction("""COMPUTED_VALUE"""),"Нет")</f>
        <v>Нет</v>
      </c>
      <c r="L156" s="0" t="str">
        <f aca="false">IFERROR(__xludf.dummyfunction("""COMPUTED_VALUE"""),"будет")</f>
        <v>будет</v>
      </c>
    </row>
  </sheetData>
  <hyperlinks>
    <hyperlink ref="G2" r:id="rId1" display="http://vk.com/agarbus2003"/>
    <hyperlink ref="G3" r:id="rId2" display="http://vk.com/id243002488"/>
    <hyperlink ref="G4" r:id="rId3" display="http://vk.com/kotyangensss"/>
    <hyperlink ref="G5" r:id="rId4" display="http://vk.com/id206813526"/>
    <hyperlink ref="G6" r:id="rId5" display="http://vk.com/djabella"/>
    <hyperlink ref="G8" r:id="rId6" display="http://vk.com/id262530619"/>
    <hyperlink ref="G9" r:id="rId7" display="http://vk.com/lazarevtolyan"/>
    <hyperlink ref="G10" r:id="rId8" display="http://vk.com/licharovski"/>
    <hyperlink ref="G11" r:id="rId9" display="http://vk.com/muravyeva2012"/>
    <hyperlink ref="G12" r:id="rId10" display="http://vk.com/maninthebluebox"/>
    <hyperlink ref="G14" r:id="rId11" display="http://vk.com/sadmaris"/>
    <hyperlink ref="G15" r:id="rId12" display="http://vk.com/mara.rina"/>
    <hyperlink ref="G16" r:id="rId13" display="http://vk.com/id209670944"/>
    <hyperlink ref="G17" r:id="rId14" display="http://vk.com/teemereva"/>
    <hyperlink ref="G19" r:id="rId15" display="http://vk.com/leepsi"/>
    <hyperlink ref="G20" r:id="rId16" display="http://vk.com/umnayshe4ka"/>
    <hyperlink ref="G21" r:id="rId17" display="http://vk.com/zyymeboy"/>
    <hyperlink ref="G22" r:id="rId18" display="http://vk.com/ijustwannahearyouscreamagain"/>
    <hyperlink ref="G23" r:id="rId19" display="http://vk.com/timfencing"/>
    <hyperlink ref="G24" r:id="rId20" display="http://vk.com/sermon.kokosov"/>
    <hyperlink ref="G25" r:id="rId21" display="http://vk.com/id270970940"/>
    <hyperlink ref="G26" r:id="rId22" display="http://vk.com/mihagg1"/>
    <hyperlink ref="G27" r:id="rId23" display="http://vk.com/siemens1337"/>
    <hyperlink ref="G28" r:id="rId24" display="http://vk.com/loiwwer"/>
    <hyperlink ref="G29" r:id="rId25" display="http://vk.com/malenkaia_esho"/>
    <hyperlink ref="G30" r:id="rId26" display="http://vk.com/egorkaegorih"/>
    <hyperlink ref="G31" r:id="rId27" display="http://vk.com/lexxandria"/>
    <hyperlink ref="G32" r:id="rId28" display="http://vk.com/1rustim1"/>
    <hyperlink ref="G33" r:id="rId29" display="http://vk.com/liub04ka"/>
    <hyperlink ref="G36" r:id="rId30" display="http://vk.com/id445282722"/>
    <hyperlink ref="G37" r:id="rId31" display="http://vk.com/evlgenius"/>
    <hyperlink ref="G38" r:id="rId32" display="http://vk.com/nsidorov2001"/>
    <hyperlink ref="G39" r:id="rId33" display="http://vk.com/andrezolnikov"/>
    <hyperlink ref="G40" r:id="rId34" display="http://vk.com/id225935599"/>
    <hyperlink ref="G42" r:id="rId35" display="http://vk.com/id226113989"/>
    <hyperlink ref="G44" r:id="rId36" display="http://vk.com/id230203504"/>
    <hyperlink ref="G45" r:id="rId37" display="http://vk.com/renata_eva"/>
    <hyperlink ref="G46" r:id="rId38" display="http://vk.com/id269671662"/>
    <hyperlink ref="G47" r:id="rId39" display="http://vk.com/id382406601"/>
    <hyperlink ref="G48" r:id="rId40" display="http://vk.com/dref55"/>
    <hyperlink ref="G50" r:id="rId41" display="http://vk.com/id194845468"/>
    <hyperlink ref="G51" r:id="rId42" display="http://vk.com/missis.nasta20"/>
    <hyperlink ref="G53" r:id="rId43" display="http://vk.com/sergey.prokhorov2000"/>
    <hyperlink ref="G54" r:id="rId44" display="http://vk.com/yanafrank"/>
    <hyperlink ref="G55" r:id="rId45" display="http://vk.com/aliceintowonderland"/>
    <hyperlink ref="G56" r:id="rId46" display="http://vk.com/id210046407"/>
    <hyperlink ref="G57" r:id="rId47" display="http://vk.com/id198934365"/>
    <hyperlink ref="G58" r:id="rId48" display="http://vk.com/polinko_malinko"/>
    <hyperlink ref="G59" r:id="rId49" display="http://vk.com/id183604164"/>
    <hyperlink ref="G60" r:id="rId50" display="http://vk.com/id183448945"/>
    <hyperlink ref="G61" r:id="rId51" display="http://vk.com/id157850061"/>
    <hyperlink ref="G62" r:id="rId52" display="http://vk.com/id183491405"/>
    <hyperlink ref="G63" r:id="rId53" display="http://vk.com/sshishova2000"/>
    <hyperlink ref="G64" r:id="rId54" display="http://vk.com/id189704537"/>
    <hyperlink ref="G65" r:id="rId55" display="http://vk.com/dimagolozov"/>
    <hyperlink ref="G66" r:id="rId56" display="http://vk.com/rustam_in"/>
    <hyperlink ref="G67" r:id="rId57" display="http://vk.com/17aaaaaaaaaaaaaaaaaaaaaaaaaaaaa"/>
    <hyperlink ref="G68" r:id="rId58" display="http://vk.com/sykessad"/>
    <hyperlink ref="G69" r:id="rId59" display="http://vk.com/anna.kurbatova99"/>
    <hyperlink ref="G70" r:id="rId60" display="http://vk.com/id269312243"/>
    <hyperlink ref="G71" r:id="rId61" display="http://vk.com/id276675815"/>
    <hyperlink ref="G72" r:id="rId62" display="http://vk.com/anna_dolgova2004"/>
    <hyperlink ref="G73" r:id="rId63" display="http://vk.com/id308485017"/>
    <hyperlink ref="G74" r:id="rId64" display="http://vk.com/sofialyubavina"/>
    <hyperlink ref="G76" r:id="rId65" display="http://vk.com/id186803102"/>
    <hyperlink ref="G77" r:id="rId66" display="http://vk.com/id249818753"/>
    <hyperlink ref="G79" r:id="rId67" display="http://vk.com/id402259781"/>
    <hyperlink ref="G80" r:id="rId68" display="http://vk.com/utlisa"/>
    <hyperlink ref="G81" r:id="rId69" display="http://vk.com/id139785776"/>
    <hyperlink ref="G82" r:id="rId70" display="http://vk.com/katyaaaa468"/>
    <hyperlink ref="G83" r:id="rId71" display="http://vk.com/valeria_vinogradova0"/>
    <hyperlink ref="G84" r:id="rId72" display="http://vk.com/andrvat"/>
    <hyperlink ref="G85" r:id="rId73" display="http://vk.com/udav_gosha"/>
    <hyperlink ref="G86" r:id="rId74" display="http://vk.com/sergey80401"/>
    <hyperlink ref="G87" r:id="rId75" display="http://vk.com/id288643683"/>
    <hyperlink ref="G88" r:id="rId76" display="http://vk.com/id152267404"/>
    <hyperlink ref="G89" r:id="rId77" display="http://vk.com/diamelnik"/>
    <hyperlink ref="G90" r:id="rId78" display="http://vk.com/id112552816"/>
    <hyperlink ref="G92" r:id="rId79" display="http://vk.com/alinasavchenko0"/>
    <hyperlink ref="G93" r:id="rId80" display="http://vk.com/id252385302"/>
    <hyperlink ref="G94" r:id="rId81" display="http://vk.com/id318731608"/>
    <hyperlink ref="G95" r:id="rId82" display="http://vk.com/elimaksi"/>
    <hyperlink ref="G96" r:id="rId83" display="http://vk.com/id171242575"/>
    <hyperlink ref="G97" r:id="rId84" display="http://vk.com/idvadichka"/>
    <hyperlink ref="G98" r:id="rId85" display="http://vk.com/neko_murr"/>
    <hyperlink ref="G99" r:id="rId86" display="http://vk.com/id324373436"/>
    <hyperlink ref="G100" r:id="rId87" display="http://vk.com/avstralo_pitek"/>
    <hyperlink ref="G101" r:id="rId88" display="http://vk.com/id200827263"/>
    <hyperlink ref="G102" r:id="rId89" display="http://vk.com/byheart_chaika"/>
    <hyperlink ref="G103" r:id="rId90" display="http://vk.com/aderkach2017"/>
    <hyperlink ref="G104" r:id="rId91" display="http://vk.com/s.papakina"/>
    <hyperlink ref="G105" r:id="rId92" display="http://vk.com/olya.protazanova"/>
    <hyperlink ref="G106" r:id="rId93" display="http://vk.com/m.arkushenko"/>
    <hyperlink ref="G107" r:id="rId94" display="http://vk.com/dimetria03"/>
    <hyperlink ref="G108" r:id="rId95" display="http://vk.com/id308817000"/>
    <hyperlink ref="G109" r:id="rId96" display="http://vk.com/nternovaya0"/>
    <hyperlink ref="G110" r:id="rId97" display="http://vk.com/mikheevii"/>
    <hyperlink ref="G111" r:id="rId98" display="http://vk.com/ira_getalova"/>
    <hyperlink ref="G112" r:id="rId99" display="http://vk.com/beslizast"/>
    <hyperlink ref="G113" r:id="rId100" display="http://vk.com/mozyleva_marie"/>
    <hyperlink ref="G114" r:id="rId101" display="http://vk.com/id440293644"/>
    <hyperlink ref="G115" r:id="rId102" display="http://vk.com/der_beste_god"/>
    <hyperlink ref="G116" r:id="rId103" display="http://vk.com/id172357435"/>
    <hyperlink ref="G117" r:id="rId104" display="http://vk.com/homesituation"/>
    <hyperlink ref="G118" r:id="rId105" display="http://vk.com/id234591697"/>
    <hyperlink ref="G119" r:id="rId106" display="http://vk.com/id153731120"/>
    <hyperlink ref="G120" r:id="rId107" display="http://vk.com/id207531264"/>
    <hyperlink ref="G121" r:id="rId108" display="http://vk.com/id415230992"/>
    <hyperlink ref="G122" r:id="rId109" display="http://vk.com/doc_ya"/>
    <hyperlink ref="G123" r:id="rId110" display="http://vk.com/sila_11797r649_sila"/>
    <hyperlink ref="G124" r:id="rId111" display="http://vk.com/id224821133"/>
    <hyperlink ref="G125" r:id="rId112" display="http://vk.com/ann_1907"/>
    <hyperlink ref="G126" r:id="rId113" display="http://vk.com/id307165294"/>
    <hyperlink ref="G127" r:id="rId114" display="http://vk.com/id223911840"/>
    <hyperlink ref="G128" r:id="rId115" display="http://vk.com/id136912725"/>
    <hyperlink ref="G129" r:id="rId116" display="http://vk.com/id85584620"/>
    <hyperlink ref="G130" r:id="rId117" display="http://vk.com/dominedeusmf"/>
    <hyperlink ref="G131" r:id="rId118" display="http://vk.com/wall-95923242_390"/>
    <hyperlink ref="G132" r:id="rId119" display="http://vk.com/id152857098"/>
    <hyperlink ref="G133" r:id="rId120" display="http://vk.com/kiparis_zelenenkiy"/>
    <hyperlink ref="G134" r:id="rId121" display="http://vk.com/id245076479"/>
    <hyperlink ref="G135" r:id="rId122" display="http://vk.com/werrewqr"/>
    <hyperlink ref="G136" r:id="rId123" display="http://vk.com/id383760243"/>
    <hyperlink ref="G137" r:id="rId124" display="https://vk.com/mylucky_strike"/>
    <hyperlink ref="G138" r:id="rId125" display="https://vk.com/id409884286"/>
    <hyperlink ref="G139" r:id="rId126" display="https://vk.com/d.polyakova1"/>
    <hyperlink ref="G142" r:id="rId127" display="https://vk.com/id306756810"/>
    <hyperlink ref="G143" r:id="rId128" display="https://vk.com/shdoo"/>
    <hyperlink ref="G144" r:id="rId129" display="https://vk.com/ilya_kuzin"/>
    <hyperlink ref="G145" r:id="rId130" display="https://vk.com/mariasmb"/>
    <hyperlink ref="G150" r:id="rId131" display="http://vk.com/sasashasas"/>
    <hyperlink ref="G151" r:id="rId132" display="https://vk.com/fuyock"/>
    <hyperlink ref="G152" r:id="rId133" display="https://vk.com/m.christmas27"/>
    <hyperlink ref="G153" r:id="rId134" display="https://vk.com/alexandrinioo"/>
    <hyperlink ref="G154" r:id="rId135" display="https://vk.com/luka5s5"/>
    <hyperlink ref="G155" r:id="rId136" display="https://vk.com/belimcatherine"/>
    <hyperlink ref="G156" r:id="rId137" display="https://vk.com/keaker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34.59"/>
    <col collapsed="false" customWidth="true" hidden="false" outlineLevel="0" max="13" min="2" style="0" width="3.3"/>
  </cols>
  <sheetData>
    <row r="1" customFormat="false" ht="150" hidden="false" customHeight="true" outlineLevel="0" collapsed="false">
      <c r="A1" s="39" t="s">
        <v>776</v>
      </c>
      <c r="B1" s="40" t="s">
        <v>85</v>
      </c>
      <c r="C1" s="40" t="s">
        <v>22</v>
      </c>
      <c r="D1" s="40" t="s">
        <v>29</v>
      </c>
      <c r="E1" s="40" t="s">
        <v>51</v>
      </c>
      <c r="F1" s="40" t="s">
        <v>128</v>
      </c>
      <c r="G1" s="40" t="s">
        <v>109</v>
      </c>
      <c r="H1" s="40" t="s">
        <v>45</v>
      </c>
      <c r="I1" s="40" t="s">
        <v>23</v>
      </c>
      <c r="J1" s="40" t="s">
        <v>65</v>
      </c>
      <c r="K1" s="40" t="s">
        <v>15</v>
      </c>
      <c r="L1" s="40" t="s">
        <v>40</v>
      </c>
      <c r="M1" s="40" t="s">
        <v>148</v>
      </c>
    </row>
    <row r="2" customFormat="false" ht="15.75" hidden="false" customHeight="false" outlineLevel="0" collapsed="false">
      <c r="A2" s="1" t="s">
        <v>80</v>
      </c>
      <c r="B2" s="21" t="n">
        <f aca="false">COUNTIFS('Переформатированный ответ'!$I$2:$I$180,$A2,'Переформатированный ответ'!$J$2:$J$180,B$1)</f>
        <v>0</v>
      </c>
      <c r="C2" s="21" t="n">
        <f aca="false">COUNTIFS('Переформатированный ответ'!$I$2:$I$180,$A2,'Переформатированный ответ'!$J$2:$J$180,C$1)</f>
        <v>0</v>
      </c>
      <c r="D2" s="21" t="n">
        <f aca="false">COUNTIFS('Переформатированный ответ'!$I$2:$I$180,$A2,'Переформатированный ответ'!$J$2:$J$180,D$1)</f>
        <v>0</v>
      </c>
      <c r="E2" s="21" t="n">
        <f aca="false">COUNTIFS('Переформатированный ответ'!$I$2:$I$180,$A2,'Переформатированный ответ'!$J$2:$J$180,E$1)</f>
        <v>0</v>
      </c>
      <c r="F2" s="21" t="n">
        <f aca="false">COUNTIFS('Переформатированный ответ'!$I$2:$I$180,$A2,'Переформатированный ответ'!$J$2:$J$180,F$1)</f>
        <v>0</v>
      </c>
      <c r="G2" s="21" t="n">
        <f aca="false">COUNTIFS('Переформатированный ответ'!$I$2:$I$180,$A2,'Переформатированный ответ'!$J$2:$J$180,G$1)</f>
        <v>0</v>
      </c>
      <c r="H2" s="21" t="n">
        <f aca="false">COUNTIFS('Переформатированный ответ'!$I$2:$I$180,$A2,'Переформатированный ответ'!$J$2:$J$180,H$1)</f>
        <v>0</v>
      </c>
      <c r="I2" s="21" t="n">
        <f aca="false">COUNTIFS('Переформатированный ответ'!$I$2:$I$180,$A2,'Переформатированный ответ'!$J$2:$J$180,I$1)</f>
        <v>0</v>
      </c>
      <c r="J2" s="21" t="n">
        <f aca="false">COUNTIFS('Переформатированный ответ'!$I$2:$I$180,$A2,'Переформатированный ответ'!$J$2:$J$180,J$1)</f>
        <v>0</v>
      </c>
      <c r="K2" s="21" t="n">
        <f aca="false">COUNTIFS('Переформатированный ответ'!$I$2:$I$180,$A2,'Переформатированный ответ'!$J$2:$J$180,K$1)</f>
        <v>0</v>
      </c>
      <c r="L2" s="21" t="n">
        <f aca="false">COUNTIFS('Переформатированный ответ'!$I$2:$I$180,$A2,'Переформатированный ответ'!$J$2:$J$180,L$1)</f>
        <v>0</v>
      </c>
      <c r="M2" s="21" t="n">
        <f aca="false">COUNTIFS('Переформатированный ответ'!$I$2:$I$180,$A2,'Переформатированный ответ'!$J$2:$J$180,M$1)</f>
        <v>0</v>
      </c>
    </row>
    <row r="3" customFormat="false" ht="15.75" hidden="false" customHeight="false" outlineLevel="0" collapsed="false">
      <c r="A3" s="1" t="s">
        <v>22</v>
      </c>
      <c r="B3" s="21" t="n">
        <f aca="false">COUNTIFS('Переформатированный ответ'!$I$2:$I$180,$A3,'Переформатированный ответ'!$J$2:$J$180,B$1)</f>
        <v>0</v>
      </c>
      <c r="C3" s="21" t="n">
        <f aca="false">COUNTIFS('Переформатированный ответ'!$I$2:$I$180,$A3,'Переформатированный ответ'!$J$2:$J$180,C$1)</f>
        <v>0</v>
      </c>
      <c r="D3" s="21" t="n">
        <f aca="false">COUNTIFS('Переформатированный ответ'!$I$2:$I$180,$A3,'Переформатированный ответ'!$J$2:$J$180,D$1)</f>
        <v>0</v>
      </c>
      <c r="E3" s="21" t="n">
        <f aca="false">COUNTIFS('Переформатированный ответ'!$I$2:$I$180,$A3,'Переформатированный ответ'!$J$2:$J$180,E$1)</f>
        <v>0</v>
      </c>
      <c r="F3" s="21" t="n">
        <f aca="false">COUNTIFS('Переформатированный ответ'!$I$2:$I$180,$A3,'Переформатированный ответ'!$J$2:$J$180,F$1)</f>
        <v>0</v>
      </c>
      <c r="G3" s="21" t="n">
        <f aca="false">COUNTIFS('Переформатированный ответ'!$I$2:$I$180,$A3,'Переформатированный ответ'!$J$2:$J$180,G$1)</f>
        <v>0</v>
      </c>
      <c r="H3" s="21" t="n">
        <f aca="false">COUNTIFS('Переформатированный ответ'!$I$2:$I$180,$A3,'Переформатированный ответ'!$J$2:$J$180,H$1)</f>
        <v>1</v>
      </c>
      <c r="I3" s="21" t="n">
        <f aca="false">COUNTIFS('Переформатированный ответ'!$I$2:$I$180,$A3,'Переформатированный ответ'!$J$2:$J$180,I$1)</f>
        <v>0</v>
      </c>
      <c r="J3" s="21" t="n">
        <f aca="false">COUNTIFS('Переформатированный ответ'!$I$2:$I$180,$A3,'Переформатированный ответ'!$J$2:$J$180,J$1)</f>
        <v>0</v>
      </c>
      <c r="K3" s="21" t="n">
        <f aca="false">COUNTIFS('Переформатированный ответ'!$I$2:$I$180,$A3,'Переформатированный ответ'!$J$2:$J$180,K$1)</f>
        <v>0</v>
      </c>
      <c r="L3" s="21" t="n">
        <f aca="false">COUNTIFS('Переформатированный ответ'!$I$2:$I$180,$A3,'Переформатированный ответ'!$J$2:$J$180,L$1)</f>
        <v>2</v>
      </c>
      <c r="M3" s="21" t="n">
        <f aca="false">COUNTIFS('Переформатированный ответ'!$I$2:$I$180,$A3,'Переформатированный ответ'!$J$2:$J$180,M$1)</f>
        <v>0</v>
      </c>
    </row>
    <row r="4" customFormat="false" ht="15.75" hidden="false" customHeight="false" outlineLevel="0" collapsed="false">
      <c r="A4" s="1" t="s">
        <v>29</v>
      </c>
      <c r="B4" s="21" t="n">
        <f aca="false">COUNTIFS('Переформатированный ответ'!$I$2:$I$180,$A4,'Переформатированный ответ'!$J$2:$J$180,B$1)</f>
        <v>0</v>
      </c>
      <c r="C4" s="21" t="n">
        <f aca="false">COUNTIFS('Переформатированный ответ'!$I$2:$I$180,$A4,'Переформатированный ответ'!$J$2:$J$180,C$1)</f>
        <v>0</v>
      </c>
      <c r="D4" s="21" t="n">
        <f aca="false">COUNTIFS('Переформатированный ответ'!$I$2:$I$180,$A4,'Переформатированный ответ'!$J$2:$J$180,D$1)</f>
        <v>0</v>
      </c>
      <c r="E4" s="21" t="n">
        <f aca="false">COUNTIFS('Переформатированный ответ'!$I$2:$I$180,$A4,'Переформатированный ответ'!$J$2:$J$180,E$1)</f>
        <v>0</v>
      </c>
      <c r="F4" s="21" t="n">
        <f aca="false">COUNTIFS('Переформатированный ответ'!$I$2:$I$180,$A4,'Переформатированный ответ'!$J$2:$J$180,F$1)</f>
        <v>0</v>
      </c>
      <c r="G4" s="21" t="n">
        <f aca="false">COUNTIFS('Переформатированный ответ'!$I$2:$I$180,$A4,'Переформатированный ответ'!$J$2:$J$180,G$1)</f>
        <v>0</v>
      </c>
      <c r="H4" s="21" t="n">
        <f aca="false">COUNTIFS('Переформатированный ответ'!$I$2:$I$180,$A4,'Переформатированный ответ'!$J$2:$J$180,H$1)</f>
        <v>0</v>
      </c>
      <c r="I4" s="21" t="n">
        <f aca="false">COUNTIFS('Переформатированный ответ'!$I$2:$I$180,$A4,'Переформатированный ответ'!$J$2:$J$180,I$1)</f>
        <v>0</v>
      </c>
      <c r="J4" s="21" t="n">
        <f aca="false">COUNTIFS('Переформатированный ответ'!$I$2:$I$180,$A4,'Переформатированный ответ'!$J$2:$J$180,J$1)</f>
        <v>0</v>
      </c>
      <c r="K4" s="21" t="n">
        <f aca="false">COUNTIFS('Переформатированный ответ'!$I$2:$I$180,$A4,'Переформатированный ответ'!$J$2:$J$180,K$1)</f>
        <v>0</v>
      </c>
      <c r="L4" s="21" t="n">
        <f aca="false">COUNTIFS('Переформатированный ответ'!$I$2:$I$180,$A4,'Переформатированный ответ'!$J$2:$J$180,L$1)</f>
        <v>0</v>
      </c>
      <c r="M4" s="21" t="n">
        <f aca="false">COUNTIFS('Переформатированный ответ'!$I$2:$I$180,$A4,'Переформатированный ответ'!$J$2:$J$180,M$1)</f>
        <v>0</v>
      </c>
    </row>
    <row r="5" customFormat="false" ht="15.75" hidden="false" customHeight="false" outlineLevel="0" collapsed="false">
      <c r="A5" s="1" t="s">
        <v>51</v>
      </c>
      <c r="B5" s="21" t="n">
        <f aca="false">COUNTIFS('Переформатированный ответ'!$I$2:$I$180,$A5,'Переформатированный ответ'!$J$2:$J$180,B$1)</f>
        <v>0</v>
      </c>
      <c r="C5" s="21" t="n">
        <f aca="false">COUNTIFS('Переформатированный ответ'!$I$2:$I$180,$A5,'Переформатированный ответ'!$J$2:$J$180,C$1)</f>
        <v>0</v>
      </c>
      <c r="D5" s="21" t="n">
        <f aca="false">COUNTIFS('Переформатированный ответ'!$I$2:$I$180,$A5,'Переформатированный ответ'!$J$2:$J$180,D$1)</f>
        <v>0</v>
      </c>
      <c r="E5" s="21" t="n">
        <f aca="false">COUNTIFS('Переформатированный ответ'!$I$2:$I$180,$A5,'Переформатированный ответ'!$J$2:$J$180,E$1)</f>
        <v>0</v>
      </c>
      <c r="F5" s="21" t="n">
        <f aca="false">COUNTIFS('Переформатированный ответ'!$I$2:$I$180,$A5,'Переформатированный ответ'!$J$2:$J$180,F$1)</f>
        <v>0</v>
      </c>
      <c r="G5" s="21" t="n">
        <f aca="false">COUNTIFS('Переформатированный ответ'!$I$2:$I$180,$A5,'Переформатированный ответ'!$J$2:$J$180,G$1)</f>
        <v>0</v>
      </c>
      <c r="H5" s="21" t="n">
        <f aca="false">COUNTIFS('Переформатированный ответ'!$I$2:$I$180,$A5,'Переформатированный ответ'!$J$2:$J$180,H$1)</f>
        <v>2</v>
      </c>
      <c r="I5" s="21" t="n">
        <f aca="false">COUNTIFS('Переформатированный ответ'!$I$2:$I$180,$A5,'Переформатированный ответ'!$J$2:$J$180,I$1)</f>
        <v>0</v>
      </c>
      <c r="J5" s="21" t="n">
        <f aca="false">COUNTIFS('Переформатированный ответ'!$I$2:$I$180,$A5,'Переформатированный ответ'!$J$2:$J$180,J$1)</f>
        <v>1</v>
      </c>
      <c r="K5" s="21" t="n">
        <f aca="false">COUNTIFS('Переформатированный ответ'!$I$2:$I$180,$A5,'Переформатированный ответ'!$J$2:$J$180,K$1)</f>
        <v>0</v>
      </c>
      <c r="L5" s="21" t="n">
        <f aca="false">COUNTIFS('Переформатированный ответ'!$I$2:$I$180,$A5,'Переформатированный ответ'!$J$2:$J$180,L$1)</f>
        <v>0</v>
      </c>
      <c r="M5" s="21" t="n">
        <f aca="false">COUNTIFS('Переформатированный ответ'!$I$2:$I$180,$A5,'Переформатированный ответ'!$J$2:$J$180,M$1)</f>
        <v>0</v>
      </c>
    </row>
    <row r="6" customFormat="false" ht="15.75" hidden="false" customHeight="false" outlineLevel="0" collapsed="false">
      <c r="A6" s="1" t="s">
        <v>70</v>
      </c>
      <c r="B6" s="21" t="n">
        <f aca="false">COUNTIFS('Переформатированный ответ'!$I$2:$I$180,$A6,'Переформатированный ответ'!$J$2:$J$180,B$1)</f>
        <v>0</v>
      </c>
      <c r="C6" s="21" t="n">
        <f aca="false">COUNTIFS('Переформатированный ответ'!$I$2:$I$180,$A6,'Переформатированный ответ'!$J$2:$J$180,C$1)</f>
        <v>0</v>
      </c>
      <c r="D6" s="21" t="n">
        <f aca="false">COUNTIFS('Переформатированный ответ'!$I$2:$I$180,$A6,'Переформатированный ответ'!$J$2:$J$180,D$1)</f>
        <v>0</v>
      </c>
      <c r="E6" s="21" t="n">
        <f aca="false">COUNTIFS('Переформатированный ответ'!$I$2:$I$180,$A6,'Переформатированный ответ'!$J$2:$J$180,E$1)</f>
        <v>1</v>
      </c>
      <c r="F6" s="21" t="n">
        <f aca="false">COUNTIFS('Переформатированный ответ'!$I$2:$I$180,$A6,'Переформатированный ответ'!$J$2:$J$180,F$1)</f>
        <v>0</v>
      </c>
      <c r="G6" s="21" t="n">
        <f aca="false">COUNTIFS('Переформатированный ответ'!$I$2:$I$180,$A6,'Переформатированный ответ'!$J$2:$J$180,G$1)</f>
        <v>0</v>
      </c>
      <c r="H6" s="21" t="n">
        <f aca="false">COUNTIFS('Переформатированный ответ'!$I$2:$I$180,$A6,'Переформатированный ответ'!$J$2:$J$180,H$1)</f>
        <v>0</v>
      </c>
      <c r="I6" s="21" t="n">
        <f aca="false">COUNTIFS('Переформатированный ответ'!$I$2:$I$180,$A6,'Переформатированный ответ'!$J$2:$J$180,I$1)</f>
        <v>0</v>
      </c>
      <c r="J6" s="21" t="n">
        <f aca="false">COUNTIFS('Переформатированный ответ'!$I$2:$I$180,$A6,'Переформатированный ответ'!$J$2:$J$180,J$1)</f>
        <v>0</v>
      </c>
      <c r="K6" s="21" t="n">
        <f aca="false">COUNTIFS('Переформатированный ответ'!$I$2:$I$180,$A6,'Переформатированный ответ'!$J$2:$J$180,K$1)</f>
        <v>0</v>
      </c>
      <c r="L6" s="21" t="n">
        <f aca="false">COUNTIFS('Переформатированный ответ'!$I$2:$I$180,$A6,'Переформатированный ответ'!$J$2:$J$180,L$1)</f>
        <v>0</v>
      </c>
      <c r="M6" s="21" t="n">
        <f aca="false">COUNTIFS('Переформатированный ответ'!$I$2:$I$180,$A6,'Переформатированный ответ'!$J$2:$J$180,M$1)</f>
        <v>0</v>
      </c>
    </row>
    <row r="7" customFormat="false" ht="15.75" hidden="false" customHeight="false" outlineLevel="0" collapsed="false">
      <c r="A7" s="1" t="s">
        <v>50</v>
      </c>
      <c r="B7" s="21" t="n">
        <f aca="false">COUNTIFS('Переформатированный ответ'!$I$2:$I$180,$A7,'Переформатированный ответ'!$J$2:$J$180,B$1)</f>
        <v>0</v>
      </c>
      <c r="C7" s="21" t="n">
        <f aca="false">COUNTIFS('Переформатированный ответ'!$I$2:$I$180,$A7,'Переформатированный ответ'!$J$2:$J$180,C$1)</f>
        <v>0</v>
      </c>
      <c r="D7" s="21" t="n">
        <f aca="false">COUNTIFS('Переформатированный ответ'!$I$2:$I$180,$A7,'Переформатированный ответ'!$J$2:$J$180,D$1)</f>
        <v>0</v>
      </c>
      <c r="E7" s="21" t="n">
        <f aca="false">COUNTIFS('Переформатированный ответ'!$I$2:$I$180,$A7,'Переформатированный ответ'!$J$2:$J$180,E$1)</f>
        <v>0</v>
      </c>
      <c r="F7" s="21" t="n">
        <f aca="false">COUNTIFS('Переформатированный ответ'!$I$2:$I$180,$A7,'Переформатированный ответ'!$J$2:$J$180,F$1)</f>
        <v>0</v>
      </c>
      <c r="G7" s="21" t="n">
        <f aca="false">COUNTIFS('Переформатированный ответ'!$I$2:$I$180,$A7,'Переформатированный ответ'!$J$2:$J$180,G$1)</f>
        <v>0</v>
      </c>
      <c r="H7" s="21" t="n">
        <f aca="false">COUNTIFS('Переформатированный ответ'!$I$2:$I$180,$A7,'Переформатированный ответ'!$J$2:$J$180,H$1)</f>
        <v>0</v>
      </c>
      <c r="I7" s="21" t="n">
        <f aca="false">COUNTIFS('Переформатированный ответ'!$I$2:$I$180,$A7,'Переформатированный ответ'!$J$2:$J$180,I$1)</f>
        <v>0</v>
      </c>
      <c r="J7" s="21" t="n">
        <f aca="false">COUNTIFS('Переформатированный ответ'!$I$2:$I$180,$A7,'Переформатированный ответ'!$J$2:$J$180,J$1)</f>
        <v>0</v>
      </c>
      <c r="K7" s="21" t="n">
        <f aca="false">COUNTIFS('Переформатированный ответ'!$I$2:$I$180,$A7,'Переформатированный ответ'!$J$2:$J$180,K$1)</f>
        <v>0</v>
      </c>
      <c r="L7" s="21" t="n">
        <f aca="false">COUNTIFS('Переформатированный ответ'!$I$2:$I$180,$A7,'Переформатированный ответ'!$J$2:$J$180,L$1)</f>
        <v>1</v>
      </c>
      <c r="M7" s="21" t="n">
        <f aca="false">COUNTIFS('Переформатированный ответ'!$I$2:$I$180,$A7,'Переформатированный ответ'!$J$2:$J$180,M$1)</f>
        <v>0</v>
      </c>
    </row>
    <row r="8" customFormat="false" ht="15.75" hidden="false" customHeight="false" outlineLevel="0" collapsed="false">
      <c r="A8" s="1" t="s">
        <v>14</v>
      </c>
      <c r="B8" s="21" t="n">
        <f aca="false">COUNTIFS('Переформатированный ответ'!$I$2:$I$180,$A8,'Переформатированный ответ'!$J$2:$J$180,B$1)</f>
        <v>1</v>
      </c>
      <c r="C8" s="21" t="n">
        <f aca="false">COUNTIFS('Переформатированный ответ'!$I$2:$I$180,$A8,'Переформатированный ответ'!$J$2:$J$180,C$1)</f>
        <v>0</v>
      </c>
      <c r="D8" s="21" t="n">
        <f aca="false">COUNTIFS('Переформатированный ответ'!$I$2:$I$180,$A8,'Переформатированный ответ'!$J$2:$J$180,D$1)</f>
        <v>0</v>
      </c>
      <c r="E8" s="21" t="n">
        <f aca="false">COUNTIFS('Переформатированный ответ'!$I$2:$I$180,$A8,'Переформатированный ответ'!$J$2:$J$180,E$1)</f>
        <v>0</v>
      </c>
      <c r="F8" s="21" t="n">
        <f aca="false">COUNTIFS('Переформатированный ответ'!$I$2:$I$180,$A8,'Переформатированный ответ'!$J$2:$J$180,F$1)</f>
        <v>0</v>
      </c>
      <c r="G8" s="21" t="n">
        <f aca="false">COUNTIFS('Переформатированный ответ'!$I$2:$I$180,$A8,'Переформатированный ответ'!$J$2:$J$180,G$1)</f>
        <v>0</v>
      </c>
      <c r="H8" s="21" t="n">
        <f aca="false">COUNTIFS('Переформатированный ответ'!$I$2:$I$180,$A8,'Переформатированный ответ'!$J$2:$J$180,H$1)</f>
        <v>0</v>
      </c>
      <c r="I8" s="21" t="n">
        <f aca="false">COUNTIFS('Переформатированный ответ'!$I$2:$I$180,$A8,'Переформатированный ответ'!$J$2:$J$180,I$1)</f>
        <v>0</v>
      </c>
      <c r="J8" s="21" t="n">
        <f aca="false">COUNTIFS('Переформатированный ответ'!$I$2:$I$180,$A8,'Переформатированный ответ'!$J$2:$J$180,J$1)</f>
        <v>1</v>
      </c>
      <c r="K8" s="21" t="n">
        <f aca="false">COUNTIFS('Переформатированный ответ'!$I$2:$I$180,$A8,'Переформатированный ответ'!$J$2:$J$180,K$1)</f>
        <v>1</v>
      </c>
      <c r="L8" s="21" t="n">
        <f aca="false">COUNTIFS('Переформатированный ответ'!$I$2:$I$180,$A8,'Переформатированный ответ'!$J$2:$J$180,L$1)</f>
        <v>1</v>
      </c>
      <c r="M8" s="21" t="n">
        <f aca="false">COUNTIFS('Переформатированный ответ'!$I$2:$I$180,$A8,'Переформатированный ответ'!$J$2:$J$180,M$1)</f>
        <v>0</v>
      </c>
    </row>
    <row r="9" customFormat="false" ht="15.75" hidden="false" customHeight="false" outlineLevel="0" collapsed="false">
      <c r="A9" s="1" t="s">
        <v>180</v>
      </c>
      <c r="B9" s="21" t="n">
        <f aca="false">COUNTIFS('Переформатированный ответ'!$I$2:$I$180,$A9,'Переформатированный ответ'!$J$2:$J$180,B$1)</f>
        <v>0</v>
      </c>
      <c r="C9" s="21" t="n">
        <f aca="false">COUNTIFS('Переформатированный ответ'!$I$2:$I$180,$A9,'Переформатированный ответ'!$J$2:$J$180,C$1)</f>
        <v>0</v>
      </c>
      <c r="D9" s="21" t="n">
        <f aca="false">COUNTIFS('Переформатированный ответ'!$I$2:$I$180,$A9,'Переформатированный ответ'!$J$2:$J$180,D$1)</f>
        <v>0</v>
      </c>
      <c r="E9" s="21" t="n">
        <f aca="false">COUNTIFS('Переформатированный ответ'!$I$2:$I$180,$A9,'Переформатированный ответ'!$J$2:$J$180,E$1)</f>
        <v>0</v>
      </c>
      <c r="F9" s="21" t="n">
        <f aca="false">COUNTIFS('Переформатированный ответ'!$I$2:$I$180,$A9,'Переформатированный ответ'!$J$2:$J$180,F$1)</f>
        <v>0</v>
      </c>
      <c r="G9" s="21" t="n">
        <f aca="false">COUNTIFS('Переформатированный ответ'!$I$2:$I$180,$A9,'Переформатированный ответ'!$J$2:$J$180,G$1)</f>
        <v>0</v>
      </c>
      <c r="H9" s="21" t="n">
        <f aca="false">COUNTIFS('Переформатированный ответ'!$I$2:$I$180,$A9,'Переформатированный ответ'!$J$2:$J$180,H$1)</f>
        <v>0</v>
      </c>
      <c r="I9" s="21" t="n">
        <f aca="false">COUNTIFS('Переформатированный ответ'!$I$2:$I$180,$A9,'Переформатированный ответ'!$J$2:$J$180,I$1)</f>
        <v>0</v>
      </c>
      <c r="J9" s="21" t="n">
        <f aca="false">COUNTIFS('Переформатированный ответ'!$I$2:$I$180,$A9,'Переформатированный ответ'!$J$2:$J$180,J$1)</f>
        <v>0</v>
      </c>
      <c r="K9" s="21" t="n">
        <f aca="false">COUNTIFS('Переформатированный ответ'!$I$2:$I$180,$A9,'Переформатированный ответ'!$J$2:$J$180,K$1)</f>
        <v>0</v>
      </c>
      <c r="L9" s="21" t="n">
        <f aca="false">COUNTIFS('Переформатированный ответ'!$I$2:$I$180,$A9,'Переформатированный ответ'!$J$2:$J$180,L$1)</f>
        <v>0</v>
      </c>
      <c r="M9" s="21" t="n">
        <f aca="false">COUNTIFS('Переформатированный ответ'!$I$2:$I$180,$A9,'Переформатированный ответ'!$J$2:$J$180,M$1)</f>
        <v>0</v>
      </c>
    </row>
    <row r="10" customFormat="false" ht="15.75" hidden="false" customHeight="false" outlineLevel="0" collapsed="false">
      <c r="A10" s="1" t="s">
        <v>15</v>
      </c>
      <c r="B10" s="21" t="n">
        <f aca="false">COUNTIFS('Переформатированный ответ'!$I$2:$I$180,$A10,'Переформатированный ответ'!$J$2:$J$180,B$1)</f>
        <v>0</v>
      </c>
      <c r="C10" s="21" t="n">
        <f aca="false">COUNTIFS('Переформатированный ответ'!$I$2:$I$180,$A10,'Переформатированный ответ'!$J$2:$J$180,C$1)</f>
        <v>0</v>
      </c>
      <c r="D10" s="21" t="n">
        <f aca="false">COUNTIFS('Переформатированный ответ'!$I$2:$I$180,$A10,'Переформатированный ответ'!$J$2:$J$180,D$1)</f>
        <v>0</v>
      </c>
      <c r="E10" s="21" t="n">
        <f aca="false">COUNTIFS('Переформатированный ответ'!$I$2:$I$180,$A10,'Переформатированный ответ'!$J$2:$J$180,E$1)</f>
        <v>0</v>
      </c>
      <c r="F10" s="21" t="n">
        <f aca="false">COUNTIFS('Переформатированный ответ'!$I$2:$I$180,$A10,'Переформатированный ответ'!$J$2:$J$180,F$1)</f>
        <v>0</v>
      </c>
      <c r="G10" s="21" t="n">
        <f aca="false">COUNTIFS('Переформатированный ответ'!$I$2:$I$180,$A10,'Переформатированный ответ'!$J$2:$J$180,G$1)</f>
        <v>0</v>
      </c>
      <c r="H10" s="21" t="n">
        <f aca="false">COUNTIFS('Переформатированный ответ'!$I$2:$I$180,$A10,'Переформатированный ответ'!$J$2:$J$180,H$1)</f>
        <v>0</v>
      </c>
      <c r="I10" s="21" t="n">
        <f aca="false">COUNTIFS('Переформатированный ответ'!$I$2:$I$180,$A10,'Переформатированный ответ'!$J$2:$J$180,I$1)</f>
        <v>0</v>
      </c>
      <c r="J10" s="21" t="n">
        <f aca="false">COUNTIFS('Переформатированный ответ'!$I$2:$I$180,$A10,'Переформатированный ответ'!$J$2:$J$180,J$1)</f>
        <v>1</v>
      </c>
      <c r="K10" s="21" t="n">
        <f aca="false">COUNTIFS('Переформатированный ответ'!$I$2:$I$180,$A10,'Переформатированный ответ'!$J$2:$J$180,K$1)</f>
        <v>0</v>
      </c>
      <c r="L10" s="21" t="n">
        <f aca="false">COUNTIFS('Переформатированный ответ'!$I$2:$I$180,$A10,'Переформатированный ответ'!$J$2:$J$180,L$1)</f>
        <v>0</v>
      </c>
      <c r="M10" s="21" t="n">
        <f aca="false">COUNTIFS('Переформатированный ответ'!$I$2:$I$180,$A10,'Переформатированный ответ'!$J$2:$J$180,M$1)</f>
        <v>0</v>
      </c>
    </row>
    <row r="11" customFormat="false" ht="15.75" hidden="false" customHeight="false" outlineLevel="0" collapsed="false">
      <c r="A11" s="1" t="s">
        <v>40</v>
      </c>
      <c r="B11" s="21" t="n">
        <f aca="false">COUNTIFS('Переформатированный ответ'!$I$2:$I$180,$A11,'Переформатированный ответ'!$J$2:$J$180,B$1)</f>
        <v>1</v>
      </c>
      <c r="C11" s="21" t="n">
        <f aca="false">COUNTIFS('Переформатированный ответ'!$I$2:$I$180,$A11,'Переформатированный ответ'!$J$2:$J$180,C$1)</f>
        <v>0</v>
      </c>
      <c r="D11" s="21" t="n">
        <f aca="false">COUNTIFS('Переформатированный ответ'!$I$2:$I$180,$A11,'Переформатированный ответ'!$J$2:$J$180,D$1)</f>
        <v>0</v>
      </c>
      <c r="E11" s="21" t="n">
        <f aca="false">COUNTIFS('Переформатированный ответ'!$I$2:$I$180,$A11,'Переформатированный ответ'!$J$2:$J$180,E$1)</f>
        <v>0</v>
      </c>
      <c r="F11" s="21" t="n">
        <f aca="false">COUNTIFS('Переформатированный ответ'!$I$2:$I$180,$A11,'Переформатированный ответ'!$J$2:$J$180,F$1)</f>
        <v>0</v>
      </c>
      <c r="G11" s="21" t="n">
        <f aca="false">COUNTIFS('Переформатированный ответ'!$I$2:$I$180,$A11,'Переформатированный ответ'!$J$2:$J$180,G$1)</f>
        <v>1</v>
      </c>
      <c r="H11" s="21" t="n">
        <f aca="false">COUNTIFS('Переформатированный ответ'!$I$2:$I$180,$A11,'Переформатированный ответ'!$J$2:$J$180,H$1)</f>
        <v>0</v>
      </c>
      <c r="I11" s="21" t="n">
        <f aca="false">COUNTIFS('Переформатированный ответ'!$I$2:$I$180,$A11,'Переформатированный ответ'!$J$2:$J$180,I$1)</f>
        <v>1</v>
      </c>
      <c r="J11" s="21" t="n">
        <f aca="false">COUNTIFS('Переформатированный ответ'!$I$2:$I$180,$A11,'Переформатированный ответ'!$J$2:$J$180,J$1)</f>
        <v>1</v>
      </c>
      <c r="K11" s="21" t="n">
        <f aca="false">COUNTIFS('Переформатированный ответ'!$I$2:$I$180,$A11,'Переформатированный ответ'!$J$2:$J$180,K$1)</f>
        <v>0</v>
      </c>
      <c r="L11" s="21" t="n">
        <f aca="false">COUNTIFS('Переформатированный ответ'!$I$2:$I$180,$A11,'Переформатированный ответ'!$J$2:$J$180,L$1)</f>
        <v>0</v>
      </c>
      <c r="M11" s="21" t="n">
        <f aca="false">COUNTIFS('Переформатированный ответ'!$I$2:$I$180,$A11,'Переформатированный ответ'!$J$2:$J$180,M$1)</f>
        <v>0</v>
      </c>
    </row>
    <row r="12" customFormat="false" ht="15.75" hidden="false" customHeight="false" outlineLevel="0" collapsed="false">
      <c r="A12" s="1" t="s">
        <v>148</v>
      </c>
      <c r="B12" s="21" t="n">
        <f aca="false">COUNTIFS('Переформатированный ответ'!$I$2:$I$180,$A12,'Переформатированный ответ'!$J$2:$J$180,B$1)</f>
        <v>1</v>
      </c>
      <c r="C12" s="21" t="n">
        <f aca="false">COUNTIFS('Переформатированный ответ'!$I$2:$I$180,$A12,'Переформатированный ответ'!$J$2:$J$180,C$1)</f>
        <v>0</v>
      </c>
      <c r="D12" s="21" t="n">
        <f aca="false">COUNTIFS('Переформатированный ответ'!$I$2:$I$180,$A12,'Переформатированный ответ'!$J$2:$J$180,D$1)</f>
        <v>0</v>
      </c>
      <c r="E12" s="21" t="n">
        <f aca="false">COUNTIFS('Переформатированный ответ'!$I$2:$I$180,$A12,'Переформатированный ответ'!$J$2:$J$180,E$1)</f>
        <v>0</v>
      </c>
      <c r="F12" s="21" t="n">
        <f aca="false">COUNTIFS('Переформатированный ответ'!$I$2:$I$180,$A12,'Переформатированный ответ'!$J$2:$J$180,F$1)</f>
        <v>0</v>
      </c>
      <c r="G12" s="21" t="n">
        <f aca="false">COUNTIFS('Переформатированный ответ'!$I$2:$I$180,$A12,'Переформатированный ответ'!$J$2:$J$180,G$1)</f>
        <v>0</v>
      </c>
      <c r="H12" s="21" t="n">
        <f aca="false">COUNTIFS('Переформатированный ответ'!$I$2:$I$180,$A12,'Переформатированный ответ'!$J$2:$J$180,H$1)</f>
        <v>0</v>
      </c>
      <c r="I12" s="21" t="n">
        <f aca="false">COUNTIFS('Переформатированный ответ'!$I$2:$I$180,$A12,'Переформатированный ответ'!$J$2:$J$180,I$1)</f>
        <v>0</v>
      </c>
      <c r="J12" s="21" t="n">
        <f aca="false">COUNTIFS('Переформатированный ответ'!$I$2:$I$180,$A12,'Переформатированный ответ'!$J$2:$J$180,J$1)</f>
        <v>0</v>
      </c>
      <c r="K12" s="21" t="n">
        <f aca="false">COUNTIFS('Переформатированный ответ'!$I$2:$I$180,$A12,'Переформатированный ответ'!$J$2:$J$180,K$1)</f>
        <v>0</v>
      </c>
      <c r="L12" s="21" t="n">
        <f aca="false">COUNTIFS('Переформатированный ответ'!$I$2:$I$180,$A12,'Переформатированный ответ'!$J$2:$J$180,L$1)</f>
        <v>0</v>
      </c>
      <c r="M12" s="21" t="n">
        <f aca="false">COUNTIFS('Переформатированный ответ'!$I$2:$I$180,$A12,'Переформатированный ответ'!$J$2:$J$180,M$1)</f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32" min="13" style="0" width="2.3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777</v>
      </c>
      <c r="H1" s="1" t="s">
        <v>7</v>
      </c>
      <c r="I1" s="1" t="s">
        <v>778</v>
      </c>
      <c r="J1" s="1" t="s">
        <v>779</v>
      </c>
      <c r="K1" s="1" t="s">
        <v>682</v>
      </c>
      <c r="L1" s="17" t="s">
        <v>780</v>
      </c>
    </row>
    <row r="2" customFormat="false" ht="15.75" hidden="false" customHeight="false" outlineLevel="0" collapsed="false">
      <c r="A2" s="2" t="n">
        <v>42857.6792361111</v>
      </c>
      <c r="B2" s="1" t="s">
        <v>24</v>
      </c>
      <c r="C2" s="1" t="s">
        <v>25</v>
      </c>
      <c r="D2" s="1" t="n">
        <v>8</v>
      </c>
      <c r="E2" s="1" t="s">
        <v>241</v>
      </c>
      <c r="G2" s="3" t="s">
        <v>781</v>
      </c>
      <c r="H2" s="1" t="s">
        <v>782</v>
      </c>
      <c r="I2" s="1" t="s">
        <v>783</v>
      </c>
      <c r="J2" s="1" t="s">
        <v>784</v>
      </c>
      <c r="K2" s="1" t="n">
        <v>2</v>
      </c>
      <c r="L2" s="22" t="e">
        <f aca="false" t="array" ref="L2:L2">IF(COUNTIF(concat(TRIM('Переформатированный ответ'!$B$2:$B$172),TRIM('Переформатированный ответ'!$C$2:$C$172)),concat(TRIM(B2),TRIM(C2))) &gt; 0,"Есть","Нет")</f>
        <v>#NAME?</v>
      </c>
      <c r="M2" s="34" t="s">
        <v>773</v>
      </c>
      <c r="N2" s="34" t="s">
        <v>773</v>
      </c>
      <c r="O2" s="34" t="s">
        <v>773</v>
      </c>
      <c r="P2" s="34" t="s">
        <v>773</v>
      </c>
      <c r="Q2" s="34" t="s">
        <v>773</v>
      </c>
      <c r="R2" s="34" t="s">
        <v>773</v>
      </c>
      <c r="S2" s="34" t="s">
        <v>773</v>
      </c>
      <c r="T2" s="34" t="s">
        <v>773</v>
      </c>
      <c r="U2" s="34" t="s">
        <v>773</v>
      </c>
      <c r="V2" s="34" t="s">
        <v>773</v>
      </c>
      <c r="W2" s="34" t="s">
        <v>773</v>
      </c>
      <c r="X2" s="34" t="s">
        <v>773</v>
      </c>
      <c r="Y2" s="34" t="s">
        <v>773</v>
      </c>
      <c r="Z2" s="34" t="s">
        <v>773</v>
      </c>
      <c r="AA2" s="34" t="s">
        <v>773</v>
      </c>
      <c r="AB2" s="34" t="s">
        <v>773</v>
      </c>
      <c r="AC2" s="34" t="s">
        <v>773</v>
      </c>
      <c r="AD2" s="34" t="s">
        <v>773</v>
      </c>
      <c r="AE2" s="34" t="s">
        <v>773</v>
      </c>
      <c r="AF2" s="34" t="s">
        <v>773</v>
      </c>
    </row>
    <row r="3" customFormat="false" ht="15.75" hidden="false" customHeight="false" outlineLevel="0" collapsed="false">
      <c r="A3" s="2" t="n">
        <v>42857.6858217593</v>
      </c>
      <c r="B3" s="1" t="s">
        <v>785</v>
      </c>
      <c r="C3" s="1" t="s">
        <v>786</v>
      </c>
      <c r="D3" s="1" t="n">
        <v>10</v>
      </c>
      <c r="E3" s="1" t="s">
        <v>787</v>
      </c>
      <c r="G3" s="3" t="s">
        <v>788</v>
      </c>
      <c r="H3" s="1" t="s">
        <v>789</v>
      </c>
      <c r="I3" s="1" t="s">
        <v>790</v>
      </c>
      <c r="J3" s="1" t="s">
        <v>791</v>
      </c>
      <c r="K3" s="1" t="n">
        <v>-2</v>
      </c>
      <c r="L3" s="22" t="e">
        <f aca="false" t="array" ref="L3:L3">IF(COUNTIF(concat(TRIM('Переформатированный ответ'!$B$2:$B$172),TRIM('Переформатированный ответ'!$C$2:$C$172)),concat(TRIM(B3),TRIM(C3))) &gt; 0,"Есть","Нет")</f>
        <v>#NAME?</v>
      </c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</row>
    <row r="4" customFormat="false" ht="15.75" hidden="false" customHeight="false" outlineLevel="0" collapsed="false">
      <c r="A4" s="2" t="n">
        <v>42857.6996296296</v>
      </c>
      <c r="B4" s="1" t="s">
        <v>96</v>
      </c>
      <c r="C4" s="1" t="s">
        <v>97</v>
      </c>
      <c r="D4" s="1" t="n">
        <v>9</v>
      </c>
      <c r="E4" s="1" t="s">
        <v>792</v>
      </c>
      <c r="G4" s="3" t="s">
        <v>793</v>
      </c>
      <c r="H4" s="1" t="s">
        <v>794</v>
      </c>
      <c r="I4" s="1" t="s">
        <v>795</v>
      </c>
      <c r="J4" s="1" t="s">
        <v>796</v>
      </c>
      <c r="K4" s="1" t="n">
        <v>2</v>
      </c>
      <c r="L4" s="22" t="e">
        <f aca="false" t="array" ref="L4:L4">IF(COUNTIF(concat(TRIM('Переформатированный ответ'!$B$2:$B$172),TRIM('Переформатированный ответ'!$C$2:$C$172)),concat(TRIM(B4),TRIM(C4))) &gt; 0,"Есть","Нет")</f>
        <v>#NAME?</v>
      </c>
      <c r="M4" s="34" t="s">
        <v>773</v>
      </c>
      <c r="N4" s="34" t="s">
        <v>773</v>
      </c>
      <c r="O4" s="34" t="s">
        <v>773</v>
      </c>
      <c r="P4" s="34" t="s">
        <v>773</v>
      </c>
      <c r="Q4" s="34" t="s">
        <v>773</v>
      </c>
      <c r="R4" s="34" t="s">
        <v>773</v>
      </c>
      <c r="S4" s="34" t="s">
        <v>773</v>
      </c>
      <c r="T4" s="34" t="s">
        <v>773</v>
      </c>
      <c r="U4" s="34" t="s">
        <v>773</v>
      </c>
      <c r="V4" s="34" t="s">
        <v>773</v>
      </c>
      <c r="W4" s="34" t="s">
        <v>773</v>
      </c>
      <c r="X4" s="34" t="s">
        <v>773</v>
      </c>
      <c r="Y4" s="34" t="s">
        <v>797</v>
      </c>
      <c r="Z4" s="34" t="s">
        <v>797</v>
      </c>
      <c r="AA4" s="34" t="s">
        <v>797</v>
      </c>
      <c r="AB4" s="34" t="s">
        <v>797</v>
      </c>
      <c r="AC4" s="34" t="s">
        <v>797</v>
      </c>
      <c r="AD4" s="34" t="s">
        <v>797</v>
      </c>
      <c r="AE4" s="34" t="s">
        <v>797</v>
      </c>
      <c r="AF4" s="34" t="s">
        <v>797</v>
      </c>
    </row>
    <row r="5" customFormat="false" ht="15.75" hidden="false" customHeight="false" outlineLevel="0" collapsed="false">
      <c r="A5" s="2" t="n">
        <v>42857.6996527778</v>
      </c>
      <c r="B5" s="1" t="s">
        <v>30</v>
      </c>
      <c r="C5" s="1" t="s">
        <v>31</v>
      </c>
      <c r="D5" s="1" t="n">
        <v>9</v>
      </c>
      <c r="E5" s="1" t="s">
        <v>798</v>
      </c>
      <c r="G5" s="3" t="s">
        <v>33</v>
      </c>
      <c r="H5" s="1" t="s">
        <v>799</v>
      </c>
      <c r="I5" s="1" t="s">
        <v>795</v>
      </c>
      <c r="J5" s="1" t="s">
        <v>784</v>
      </c>
      <c r="K5" s="1" t="n">
        <v>2</v>
      </c>
      <c r="L5" s="22" t="e">
        <f aca="false" t="array" ref="L5:L5">IF(COUNTIF(concat(TRIM('Переформатированный ответ'!$B$2:$B$172),TRIM('Переформатированный ответ'!$C$2:$C$172)),concat(TRIM(B5),TRIM(C5))) &gt; 0,"Есть","Нет")</f>
        <v>#NAME?</v>
      </c>
      <c r="M5" s="34" t="s">
        <v>773</v>
      </c>
      <c r="N5" s="34" t="s">
        <v>773</v>
      </c>
      <c r="O5" s="34" t="s">
        <v>773</v>
      </c>
      <c r="P5" s="34" t="s">
        <v>773</v>
      </c>
      <c r="Q5" s="34" t="s">
        <v>773</v>
      </c>
      <c r="R5" s="34" t="s">
        <v>773</v>
      </c>
      <c r="S5" s="34" t="s">
        <v>773</v>
      </c>
      <c r="T5" s="34" t="s">
        <v>773</v>
      </c>
      <c r="U5" s="34" t="s">
        <v>773</v>
      </c>
      <c r="V5" s="34" t="s">
        <v>773</v>
      </c>
      <c r="W5" s="34" t="s">
        <v>773</v>
      </c>
      <c r="X5" s="34" t="s">
        <v>773</v>
      </c>
      <c r="Y5" s="34" t="s">
        <v>773</v>
      </c>
      <c r="Z5" s="34" t="s">
        <v>773</v>
      </c>
      <c r="AA5" s="34" t="s">
        <v>773</v>
      </c>
      <c r="AB5" s="34" t="s">
        <v>773</v>
      </c>
      <c r="AC5" s="34" t="s">
        <v>773</v>
      </c>
      <c r="AD5" s="34" t="s">
        <v>773</v>
      </c>
      <c r="AE5" s="34" t="s">
        <v>773</v>
      </c>
      <c r="AF5" s="34" t="s">
        <v>773</v>
      </c>
    </row>
    <row r="6" customFormat="false" ht="15.75" hidden="false" customHeight="false" outlineLevel="0" collapsed="false">
      <c r="A6" s="2" t="n">
        <v>42857.7073842593</v>
      </c>
      <c r="B6" s="1" t="s">
        <v>168</v>
      </c>
      <c r="C6" s="1" t="s">
        <v>169</v>
      </c>
      <c r="D6" s="1" t="n">
        <v>10</v>
      </c>
      <c r="E6" s="1" t="s">
        <v>170</v>
      </c>
      <c r="G6" s="3" t="s">
        <v>800</v>
      </c>
      <c r="H6" s="1" t="s">
        <v>172</v>
      </c>
      <c r="I6" s="1" t="s">
        <v>791</v>
      </c>
      <c r="J6" s="1" t="s">
        <v>801</v>
      </c>
      <c r="K6" s="1" t="n">
        <v>2</v>
      </c>
      <c r="L6" s="22" t="e">
        <f aca="false" t="array" ref="L6:L6">IF(COUNTIF(concat(TRIM('Переформатированный ответ'!$B$2:$B$172),TRIM('Переформатированный ответ'!$C$2:$C$172)),concat(TRIM(B6),TRIM(C6))) &gt; 0,"Есть","Нет")</f>
        <v>#NAME?</v>
      </c>
      <c r="M6" s="34" t="s">
        <v>773</v>
      </c>
      <c r="N6" s="34" t="s">
        <v>773</v>
      </c>
      <c r="O6" s="34" t="s">
        <v>773</v>
      </c>
      <c r="P6" s="34" t="s">
        <v>773</v>
      </c>
      <c r="Q6" s="34" t="s">
        <v>773</v>
      </c>
      <c r="R6" s="34" t="s">
        <v>773</v>
      </c>
      <c r="S6" s="34" t="s">
        <v>773</v>
      </c>
      <c r="T6" s="34" t="s">
        <v>773</v>
      </c>
      <c r="U6" s="34" t="s">
        <v>773</v>
      </c>
      <c r="V6" s="34" t="s">
        <v>773</v>
      </c>
      <c r="W6" s="34" t="s">
        <v>773</v>
      </c>
      <c r="X6" s="34" t="s">
        <v>773</v>
      </c>
      <c r="Y6" s="34" t="s">
        <v>773</v>
      </c>
      <c r="Z6" s="34" t="s">
        <v>773</v>
      </c>
      <c r="AA6" s="34" t="s">
        <v>773</v>
      </c>
      <c r="AB6" s="34" t="s">
        <v>773</v>
      </c>
      <c r="AC6" s="34" t="s">
        <v>773</v>
      </c>
      <c r="AD6" s="34" t="s">
        <v>773</v>
      </c>
      <c r="AE6" s="34" t="s">
        <v>773</v>
      </c>
      <c r="AF6" s="34" t="s">
        <v>773</v>
      </c>
    </row>
    <row r="7" customFormat="false" ht="15.75" hidden="false" customHeight="false" outlineLevel="0" collapsed="false">
      <c r="A7" s="2" t="n">
        <v>42857.7200462963</v>
      </c>
      <c r="B7" s="1" t="s">
        <v>802</v>
      </c>
      <c r="C7" s="1" t="s">
        <v>803</v>
      </c>
      <c r="D7" s="1" t="n">
        <v>9</v>
      </c>
      <c r="E7" s="1" t="n">
        <v>159</v>
      </c>
      <c r="G7" s="3" t="s">
        <v>804</v>
      </c>
      <c r="H7" s="1" t="s">
        <v>805</v>
      </c>
      <c r="I7" s="1" t="s">
        <v>806</v>
      </c>
      <c r="J7" s="1" t="s">
        <v>796</v>
      </c>
      <c r="K7" s="1" t="n">
        <v>2</v>
      </c>
      <c r="L7" s="22" t="e">
        <f aca="false" t="array" ref="L7:L7">IF(COUNTIF(concat(TRIM('Переформатированный ответ'!$B$2:$B$172),TRIM('Переформатированный ответ'!$C$2:$C$172)),concat(TRIM(B7),TRIM(C7))) &gt; 0,"Есть","Нет")</f>
        <v>#NAME?</v>
      </c>
      <c r="M7" s="34" t="s">
        <v>773</v>
      </c>
      <c r="N7" s="34" t="s">
        <v>773</v>
      </c>
      <c r="O7" s="34" t="s">
        <v>773</v>
      </c>
      <c r="P7" s="34" t="s">
        <v>773</v>
      </c>
      <c r="Q7" s="34" t="s">
        <v>773</v>
      </c>
      <c r="R7" s="34" t="s">
        <v>773</v>
      </c>
      <c r="S7" s="34" t="s">
        <v>797</v>
      </c>
      <c r="T7" s="34" t="s">
        <v>797</v>
      </c>
      <c r="U7" s="34" t="s">
        <v>773</v>
      </c>
      <c r="V7" s="34" t="s">
        <v>773</v>
      </c>
      <c r="W7" s="34" t="s">
        <v>773</v>
      </c>
      <c r="X7" s="34" t="s">
        <v>773</v>
      </c>
      <c r="Y7" s="34" t="s">
        <v>773</v>
      </c>
      <c r="Z7" s="34" t="s">
        <v>773</v>
      </c>
      <c r="AA7" s="34" t="s">
        <v>797</v>
      </c>
      <c r="AB7" s="34" t="s">
        <v>797</v>
      </c>
      <c r="AC7" s="34" t="s">
        <v>797</v>
      </c>
      <c r="AD7" s="34" t="s">
        <v>797</v>
      </c>
      <c r="AE7" s="34" t="s">
        <v>797</v>
      </c>
      <c r="AF7" s="34" t="s">
        <v>797</v>
      </c>
    </row>
    <row r="8" customFormat="false" ht="15.75" hidden="false" customHeight="false" outlineLevel="0" collapsed="false">
      <c r="A8" s="2" t="n">
        <v>42857.8258564815</v>
      </c>
      <c r="B8" s="1" t="s">
        <v>308</v>
      </c>
      <c r="C8" s="1" t="s">
        <v>155</v>
      </c>
      <c r="D8" s="1" t="n">
        <v>7</v>
      </c>
      <c r="E8" s="1" t="s">
        <v>470</v>
      </c>
      <c r="G8" s="3" t="s">
        <v>807</v>
      </c>
      <c r="H8" s="1" t="s">
        <v>311</v>
      </c>
      <c r="I8" s="1" t="s">
        <v>783</v>
      </c>
      <c r="J8" s="1" t="s">
        <v>806</v>
      </c>
      <c r="K8" s="1" t="n">
        <v>2</v>
      </c>
      <c r="L8" s="22" t="e">
        <f aca="false" t="array" ref="L8:L8">IF(COUNTIF(concat(TRIM('Переформатированный ответ'!$B$2:$B$172),TRIM('Переформатированный ответ'!$C$2:$C$172)),concat(TRIM(B8),TRIM(C8))) &gt; 0,"Есть","Нет")</f>
        <v>#NAME?</v>
      </c>
      <c r="M8" s="34" t="s">
        <v>773</v>
      </c>
      <c r="N8" s="34" t="s">
        <v>773</v>
      </c>
      <c r="O8" s="34" t="s">
        <v>773</v>
      </c>
      <c r="P8" s="34" t="s">
        <v>773</v>
      </c>
      <c r="Q8" s="34" t="s">
        <v>773</v>
      </c>
      <c r="R8" s="34" t="s">
        <v>773</v>
      </c>
      <c r="S8" s="34" t="s">
        <v>773</v>
      </c>
      <c r="T8" s="34" t="s">
        <v>773</v>
      </c>
      <c r="U8" s="34" t="s">
        <v>773</v>
      </c>
      <c r="V8" s="34" t="s">
        <v>773</v>
      </c>
      <c r="W8" s="34" t="s">
        <v>773</v>
      </c>
      <c r="X8" s="34" t="s">
        <v>773</v>
      </c>
      <c r="Y8" s="34" t="s">
        <v>773</v>
      </c>
      <c r="Z8" s="34" t="s">
        <v>773</v>
      </c>
      <c r="AA8" s="34" t="s">
        <v>773</v>
      </c>
      <c r="AB8" s="34" t="s">
        <v>773</v>
      </c>
      <c r="AC8" s="34" t="s">
        <v>773</v>
      </c>
      <c r="AD8" s="34" t="s">
        <v>773</v>
      </c>
      <c r="AE8" s="34" t="s">
        <v>773</v>
      </c>
      <c r="AF8" s="34" t="s">
        <v>773</v>
      </c>
    </row>
    <row r="9" customFormat="false" ht="15.75" hidden="false" customHeight="false" outlineLevel="0" collapsed="false">
      <c r="A9" s="2" t="n">
        <v>42857.8407986111</v>
      </c>
      <c r="B9" s="1" t="s">
        <v>426</v>
      </c>
      <c r="C9" s="1" t="s">
        <v>364</v>
      </c>
      <c r="D9" s="1" t="n">
        <v>9</v>
      </c>
      <c r="E9" s="1" t="s">
        <v>82</v>
      </c>
      <c r="G9" s="3" t="s">
        <v>808</v>
      </c>
      <c r="H9" s="1" t="s">
        <v>809</v>
      </c>
      <c r="I9" s="1" t="s">
        <v>795</v>
      </c>
      <c r="J9" s="1" t="s">
        <v>784</v>
      </c>
      <c r="K9" s="1" t="n">
        <v>2</v>
      </c>
      <c r="L9" s="22" t="e">
        <f aca="false" t="array" ref="L9:L9">IF(COUNTIF(concat(TRIM('Переформатированный ответ'!$B$2:$B$172),TRIM('Переформатированный ответ'!$C$2:$C$172)),concat(TRIM(B9),TRIM(C9))) &gt; 0,"Есть","Нет")</f>
        <v>#NAME?</v>
      </c>
      <c r="M9" s="34" t="s">
        <v>797</v>
      </c>
      <c r="N9" s="34" t="s">
        <v>797</v>
      </c>
      <c r="O9" s="34" t="s">
        <v>773</v>
      </c>
      <c r="P9" s="34" t="s">
        <v>773</v>
      </c>
      <c r="Q9" s="34" t="s">
        <v>773</v>
      </c>
      <c r="R9" s="34" t="s">
        <v>773</v>
      </c>
      <c r="S9" s="34" t="s">
        <v>773</v>
      </c>
      <c r="T9" s="34" t="s">
        <v>773</v>
      </c>
      <c r="U9" s="34" t="s">
        <v>773</v>
      </c>
      <c r="V9" s="34" t="s">
        <v>773</v>
      </c>
      <c r="W9" s="34" t="s">
        <v>797</v>
      </c>
      <c r="X9" s="34" t="s">
        <v>797</v>
      </c>
      <c r="Y9" s="34" t="s">
        <v>773</v>
      </c>
      <c r="Z9" s="34" t="s">
        <v>773</v>
      </c>
      <c r="AA9" s="34" t="s">
        <v>773</v>
      </c>
      <c r="AB9" s="34" t="s">
        <v>773</v>
      </c>
      <c r="AC9" s="34" t="s">
        <v>773</v>
      </c>
      <c r="AD9" s="34" t="s">
        <v>773</v>
      </c>
      <c r="AE9" s="34" t="s">
        <v>773</v>
      </c>
      <c r="AF9" s="34" t="s">
        <v>773</v>
      </c>
    </row>
    <row r="10" customFormat="false" ht="15.75" hidden="false" customHeight="false" outlineLevel="0" collapsed="false">
      <c r="A10" s="2" t="n">
        <v>42857.9381828704</v>
      </c>
      <c r="B10" s="1" t="s">
        <v>56</v>
      </c>
      <c r="C10" s="1" t="s">
        <v>57</v>
      </c>
      <c r="D10" s="1" t="n">
        <v>9</v>
      </c>
      <c r="E10" s="1" t="n">
        <v>116</v>
      </c>
      <c r="G10" s="3" t="s">
        <v>810</v>
      </c>
      <c r="H10" s="1" t="s">
        <v>59</v>
      </c>
      <c r="I10" s="1" t="s">
        <v>806</v>
      </c>
      <c r="J10" s="1" t="s">
        <v>801</v>
      </c>
      <c r="K10" s="1" t="n">
        <v>1</v>
      </c>
      <c r="L10" s="22" t="e">
        <f aca="false" t="array" ref="L10:L10">IF(COUNTIF(concat(TRIM('Переформатированный ответ'!$B$2:$B$172),TRIM('Переформатированный ответ'!$C$2:$C$172)),concat(TRIM(B10),TRIM(C10))) &gt; 0,"Есть","Нет")</f>
        <v>#NAME?</v>
      </c>
      <c r="M10" s="34" t="s">
        <v>773</v>
      </c>
      <c r="N10" s="34" t="s">
        <v>773</v>
      </c>
      <c r="O10" s="34" t="s">
        <v>773</v>
      </c>
      <c r="P10" s="34" t="s">
        <v>773</v>
      </c>
      <c r="Q10" s="34" t="s">
        <v>773</v>
      </c>
      <c r="R10" s="34" t="s">
        <v>773</v>
      </c>
      <c r="S10" s="34" t="s">
        <v>797</v>
      </c>
      <c r="T10" s="34" t="s">
        <v>773</v>
      </c>
      <c r="U10" s="34" t="s">
        <v>773</v>
      </c>
      <c r="V10" s="34" t="s">
        <v>773</v>
      </c>
      <c r="W10" s="34" t="s">
        <v>773</v>
      </c>
      <c r="X10" s="34" t="s">
        <v>773</v>
      </c>
      <c r="Y10" s="34" t="s">
        <v>773</v>
      </c>
      <c r="Z10" s="34" t="s">
        <v>773</v>
      </c>
      <c r="AA10" s="34" t="s">
        <v>773</v>
      </c>
      <c r="AB10" s="34" t="s">
        <v>773</v>
      </c>
      <c r="AC10" s="34" t="s">
        <v>773</v>
      </c>
      <c r="AD10" s="34" t="s">
        <v>773</v>
      </c>
      <c r="AE10" s="34" t="s">
        <v>773</v>
      </c>
      <c r="AF10" s="34" t="s">
        <v>773</v>
      </c>
    </row>
    <row r="11" customFormat="false" ht="15.75" hidden="false" customHeight="false" outlineLevel="0" collapsed="false">
      <c r="A11" s="2" t="n">
        <v>42858.2451041667</v>
      </c>
      <c r="B11" s="1" t="s">
        <v>811</v>
      </c>
      <c r="C11" s="1" t="s">
        <v>53</v>
      </c>
      <c r="D11" s="1" t="n">
        <v>10</v>
      </c>
      <c r="E11" s="1" t="s">
        <v>812</v>
      </c>
      <c r="G11" s="3" t="s">
        <v>813</v>
      </c>
      <c r="H11" s="1" t="s">
        <v>814</v>
      </c>
      <c r="I11" s="1" t="s">
        <v>806</v>
      </c>
      <c r="J11" s="1" t="s">
        <v>815</v>
      </c>
      <c r="K11" s="1" t="n">
        <v>2</v>
      </c>
      <c r="L11" s="22" t="e">
        <f aca="false" t="array" ref="L11:L11">IF(COUNTIF(concat(TRIM('Переформатированный ответ'!$B$2:$B$172),TRIM('Переформатированный ответ'!$C$2:$C$172)),concat(TRIM(B11),TRIM(C11))) &gt; 0,"Есть","Нет")</f>
        <v>#NAME?</v>
      </c>
      <c r="M11" s="34" t="s">
        <v>773</v>
      </c>
      <c r="N11" s="34" t="s">
        <v>773</v>
      </c>
      <c r="O11" s="34" t="s">
        <v>773</v>
      </c>
      <c r="P11" s="34" t="s">
        <v>773</v>
      </c>
      <c r="Q11" s="34" t="s">
        <v>773</v>
      </c>
      <c r="R11" s="34" t="s">
        <v>773</v>
      </c>
      <c r="S11" s="34" t="s">
        <v>773</v>
      </c>
      <c r="T11" s="34" t="s">
        <v>773</v>
      </c>
      <c r="U11" s="34" t="s">
        <v>773</v>
      </c>
      <c r="V11" s="34" t="s">
        <v>773</v>
      </c>
      <c r="W11" s="34" t="s">
        <v>773</v>
      </c>
      <c r="X11" s="34" t="s">
        <v>773</v>
      </c>
      <c r="Y11" s="34" t="s">
        <v>773</v>
      </c>
      <c r="Z11" s="34" t="s">
        <v>773</v>
      </c>
      <c r="AA11" s="34" t="s">
        <v>773</v>
      </c>
      <c r="AB11" s="34" t="s">
        <v>773</v>
      </c>
      <c r="AC11" s="34" t="s">
        <v>773</v>
      </c>
      <c r="AD11" s="34" t="s">
        <v>773</v>
      </c>
      <c r="AE11" s="34" t="s">
        <v>773</v>
      </c>
      <c r="AF11" s="34" t="s">
        <v>773</v>
      </c>
    </row>
    <row r="12" customFormat="false" ht="15.75" hidden="false" customHeight="false" outlineLevel="0" collapsed="false">
      <c r="A12" s="2" t="n">
        <v>42858.5937268519</v>
      </c>
      <c r="B12" s="1" t="s">
        <v>816</v>
      </c>
      <c r="C12" s="1" t="s">
        <v>31</v>
      </c>
      <c r="D12" s="1" t="n">
        <v>7</v>
      </c>
      <c r="E12" s="1" t="n">
        <v>61</v>
      </c>
      <c r="G12" s="3" t="s">
        <v>817</v>
      </c>
      <c r="H12" s="1" t="s">
        <v>818</v>
      </c>
      <c r="I12" s="1" t="s">
        <v>784</v>
      </c>
      <c r="J12" s="1" t="s">
        <v>795</v>
      </c>
      <c r="K12" s="1" t="n">
        <v>2</v>
      </c>
      <c r="L12" s="22" t="e">
        <f aca="false" t="array" ref="L12:L12">IF(COUNTIF(concat(TRIM('Переформатированный ответ'!$B$2:$B$172),TRIM('Переформатированный ответ'!$C$2:$C$172)),concat(TRIM(B12),TRIM(C12))) &gt; 0,"Есть","Нет")</f>
        <v>#NAME?</v>
      </c>
      <c r="M12" s="34" t="s">
        <v>773</v>
      </c>
      <c r="N12" s="34" t="s">
        <v>773</v>
      </c>
      <c r="O12" s="34" t="s">
        <v>773</v>
      </c>
      <c r="P12" s="34" t="s">
        <v>773</v>
      </c>
      <c r="Q12" s="34" t="s">
        <v>797</v>
      </c>
      <c r="R12" s="34" t="s">
        <v>797</v>
      </c>
      <c r="S12" s="34" t="s">
        <v>797</v>
      </c>
      <c r="T12" s="34" t="s">
        <v>797</v>
      </c>
      <c r="U12" s="34" t="s">
        <v>797</v>
      </c>
      <c r="V12" s="34" t="s">
        <v>797</v>
      </c>
      <c r="W12" s="34" t="s">
        <v>797</v>
      </c>
      <c r="X12" s="34" t="s">
        <v>797</v>
      </c>
      <c r="Y12" s="34" t="s">
        <v>797</v>
      </c>
      <c r="Z12" s="34" t="s">
        <v>797</v>
      </c>
      <c r="AA12" s="34" t="s">
        <v>797</v>
      </c>
      <c r="AB12" s="34" t="s">
        <v>797</v>
      </c>
      <c r="AC12" s="34" t="s">
        <v>797</v>
      </c>
      <c r="AD12" s="34" t="s">
        <v>797</v>
      </c>
      <c r="AE12" s="34" t="s">
        <v>797</v>
      </c>
      <c r="AF12" s="34" t="s">
        <v>797</v>
      </c>
    </row>
    <row r="13" customFormat="false" ht="15.75" hidden="false" customHeight="false" outlineLevel="0" collapsed="false">
      <c r="A13" s="2" t="n">
        <v>42858.7507638889</v>
      </c>
      <c r="B13" s="1" t="s">
        <v>101</v>
      </c>
      <c r="C13" s="1" t="s">
        <v>102</v>
      </c>
      <c r="D13" s="1" t="n">
        <v>9</v>
      </c>
      <c r="E13" s="1" t="s">
        <v>274</v>
      </c>
      <c r="F13" s="1" t="s">
        <v>819</v>
      </c>
      <c r="G13" s="3" t="s">
        <v>104</v>
      </c>
      <c r="H13" s="1" t="s">
        <v>105</v>
      </c>
      <c r="I13" s="1" t="s">
        <v>783</v>
      </c>
      <c r="J13" s="1" t="s">
        <v>806</v>
      </c>
      <c r="K13" s="1" t="n">
        <v>2</v>
      </c>
      <c r="L13" s="22" t="e">
        <f aca="false" t="array" ref="L13:L13">IF(COUNTIF(concat(TRIM('Переформатированный ответ'!$B$2:$B$172),TRIM('Переформатированный ответ'!$C$2:$C$172)),concat(TRIM(B13),TRIM(C13))) &gt; 0,"Есть","Нет")</f>
        <v>#NAME?</v>
      </c>
      <c r="M13" s="34" t="s">
        <v>797</v>
      </c>
      <c r="N13" s="34" t="s">
        <v>797</v>
      </c>
      <c r="O13" s="34" t="s">
        <v>797</v>
      </c>
      <c r="P13" s="34" t="s">
        <v>797</v>
      </c>
      <c r="Q13" s="34" t="s">
        <v>797</v>
      </c>
      <c r="R13" s="34" t="s">
        <v>797</v>
      </c>
      <c r="S13" s="34" t="s">
        <v>797</v>
      </c>
      <c r="T13" s="34" t="s">
        <v>797</v>
      </c>
      <c r="U13" s="34" t="s">
        <v>797</v>
      </c>
      <c r="V13" s="34" t="s">
        <v>797</v>
      </c>
      <c r="W13" s="34" t="s">
        <v>797</v>
      </c>
      <c r="X13" s="34" t="s">
        <v>797</v>
      </c>
      <c r="Y13" s="34" t="s">
        <v>797</v>
      </c>
      <c r="Z13" s="34" t="s">
        <v>797</v>
      </c>
      <c r="AA13" s="34" t="s">
        <v>797</v>
      </c>
      <c r="AB13" s="34" t="s">
        <v>797</v>
      </c>
      <c r="AC13" s="34" t="s">
        <v>797</v>
      </c>
      <c r="AD13" s="34" t="s">
        <v>797</v>
      </c>
      <c r="AE13" s="34" t="s">
        <v>797</v>
      </c>
      <c r="AF13" s="34" t="s">
        <v>797</v>
      </c>
    </row>
    <row r="14" customFormat="false" ht="15.75" hidden="false" customHeight="false" outlineLevel="0" collapsed="false">
      <c r="A14" s="2" t="n">
        <v>42858.769212963</v>
      </c>
      <c r="B14" s="1" t="s">
        <v>820</v>
      </c>
      <c r="C14" s="1" t="s">
        <v>529</v>
      </c>
      <c r="D14" s="1" t="n">
        <v>10</v>
      </c>
      <c r="E14" s="1" t="s">
        <v>328</v>
      </c>
      <c r="G14" s="3" t="s">
        <v>821</v>
      </c>
      <c r="H14" s="1" t="s">
        <v>822</v>
      </c>
      <c r="I14" s="1" t="s">
        <v>806</v>
      </c>
      <c r="J14" s="1" t="s">
        <v>784</v>
      </c>
      <c r="K14" s="1" t="n">
        <v>2</v>
      </c>
      <c r="L14" s="22" t="e">
        <f aca="false" t="array" ref="L14:L14">IF(COUNTIF(concat(TRIM('Переформатированный ответ'!$B$2:$B$172),TRIM('Переформатированный ответ'!$C$2:$C$172)),concat(TRIM(B14),TRIM(C14))) &gt; 0,"Есть","Нет")</f>
        <v>#NAME?</v>
      </c>
      <c r="M14" s="34" t="s">
        <v>773</v>
      </c>
      <c r="N14" s="34" t="s">
        <v>773</v>
      </c>
      <c r="O14" s="34" t="s">
        <v>773</v>
      </c>
      <c r="P14" s="34" t="s">
        <v>773</v>
      </c>
      <c r="Q14" s="34" t="s">
        <v>773</v>
      </c>
      <c r="R14" s="34" t="s">
        <v>773</v>
      </c>
      <c r="S14" s="34" t="s">
        <v>773</v>
      </c>
      <c r="T14" s="34" t="s">
        <v>773</v>
      </c>
      <c r="U14" s="34" t="s">
        <v>773</v>
      </c>
      <c r="V14" s="34" t="s">
        <v>773</v>
      </c>
      <c r="W14" s="34" t="s">
        <v>773</v>
      </c>
      <c r="X14" s="34" t="s">
        <v>773</v>
      </c>
      <c r="Y14" s="34" t="s">
        <v>773</v>
      </c>
      <c r="Z14" s="34" t="s">
        <v>773</v>
      </c>
      <c r="AA14" s="34" t="s">
        <v>797</v>
      </c>
      <c r="AB14" s="34" t="s">
        <v>797</v>
      </c>
      <c r="AC14" s="34" t="s">
        <v>773</v>
      </c>
      <c r="AD14" s="34" t="s">
        <v>773</v>
      </c>
      <c r="AE14" s="34" t="s">
        <v>773</v>
      </c>
      <c r="AF14" s="34" t="s">
        <v>773</v>
      </c>
    </row>
    <row r="15" customFormat="false" ht="15.75" hidden="false" customHeight="false" outlineLevel="0" collapsed="false">
      <c r="A15" s="2" t="n">
        <v>42858.7699305556</v>
      </c>
      <c r="B15" s="1" t="s">
        <v>823</v>
      </c>
      <c r="C15" s="1" t="s">
        <v>42</v>
      </c>
      <c r="D15" s="1" t="n">
        <v>7</v>
      </c>
      <c r="E15" s="1" t="s">
        <v>824</v>
      </c>
      <c r="G15" s="1" t="s">
        <v>825</v>
      </c>
      <c r="H15" s="1" t="s">
        <v>826</v>
      </c>
      <c r="I15" s="1" t="s">
        <v>784</v>
      </c>
      <c r="J15" s="1" t="s">
        <v>827</v>
      </c>
      <c r="K15" s="1" t="n">
        <v>2</v>
      </c>
      <c r="L15" s="22" t="e">
        <f aca="false" t="array" ref="L15:L15">IF(COUNTIF(concat(TRIM('Переформатированный ответ'!$B$2:$B$172),TRIM('Переформатированный ответ'!$C$2:$C$172)),concat(TRIM(B15),TRIM(C15))) &gt; 0,"Есть","Нет")</f>
        <v>#NAME?</v>
      </c>
      <c r="M15" s="34" t="s">
        <v>773</v>
      </c>
      <c r="N15" s="34" t="s">
        <v>773</v>
      </c>
      <c r="O15" s="34" t="s">
        <v>773</v>
      </c>
      <c r="P15" s="34" t="s">
        <v>773</v>
      </c>
      <c r="Q15" s="34" t="s">
        <v>773</v>
      </c>
      <c r="R15" s="34" t="s">
        <v>773</v>
      </c>
      <c r="S15" s="34" t="s">
        <v>773</v>
      </c>
      <c r="T15" s="34" t="s">
        <v>773</v>
      </c>
      <c r="U15" s="34" t="s">
        <v>773</v>
      </c>
      <c r="V15" s="34" t="s">
        <v>773</v>
      </c>
      <c r="W15" s="34" t="s">
        <v>773</v>
      </c>
      <c r="X15" s="34" t="s">
        <v>773</v>
      </c>
      <c r="Y15" s="34" t="s">
        <v>773</v>
      </c>
      <c r="Z15" s="34" t="s">
        <v>773</v>
      </c>
      <c r="AA15" s="34" t="s">
        <v>773</v>
      </c>
      <c r="AB15" s="34" t="s">
        <v>773</v>
      </c>
      <c r="AC15" s="34" t="s">
        <v>773</v>
      </c>
      <c r="AD15" s="34" t="s">
        <v>773</v>
      </c>
      <c r="AE15" s="34" t="s">
        <v>773</v>
      </c>
      <c r="AF15" s="34" t="s">
        <v>773</v>
      </c>
    </row>
    <row r="16" customFormat="false" ht="15.75" hidden="false" customHeight="false" outlineLevel="0" collapsed="false">
      <c r="A16" s="2" t="n">
        <v>42858.8068981482</v>
      </c>
      <c r="B16" s="1" t="s">
        <v>828</v>
      </c>
      <c r="C16" s="1" t="s">
        <v>829</v>
      </c>
      <c r="D16" s="1" t="n">
        <v>7</v>
      </c>
      <c r="E16" s="1" t="s">
        <v>103</v>
      </c>
      <c r="G16" s="3" t="s">
        <v>830</v>
      </c>
      <c r="H16" s="1" t="s">
        <v>831</v>
      </c>
      <c r="I16" s="1" t="s">
        <v>784</v>
      </c>
      <c r="J16" s="1" t="s">
        <v>795</v>
      </c>
      <c r="K16" s="1" t="n">
        <v>2</v>
      </c>
      <c r="L16" s="22" t="e">
        <f aca="false" t="array" ref="L16:L16">IF(COUNTIF(concat(TRIM('Переформатированный ответ'!$B$2:$B$172),TRIM('Переформатированный ответ'!$C$2:$C$172)),concat(TRIM(B16),TRIM(C16))) &gt; 0,"Есть","Нет")</f>
        <v>#NAME?</v>
      </c>
      <c r="M16" s="34" t="s">
        <v>773</v>
      </c>
      <c r="N16" s="34" t="s">
        <v>773</v>
      </c>
      <c r="O16" s="34" t="s">
        <v>797</v>
      </c>
      <c r="P16" s="34" t="s">
        <v>797</v>
      </c>
      <c r="Q16" s="34" t="s">
        <v>773</v>
      </c>
      <c r="R16" s="34" t="s">
        <v>773</v>
      </c>
      <c r="S16" s="34" t="s">
        <v>797</v>
      </c>
      <c r="T16" s="34" t="s">
        <v>797</v>
      </c>
      <c r="U16" s="34" t="s">
        <v>797</v>
      </c>
      <c r="V16" s="34" t="s">
        <v>797</v>
      </c>
      <c r="W16" s="34" t="s">
        <v>797</v>
      </c>
      <c r="X16" s="34" t="s">
        <v>773</v>
      </c>
      <c r="Y16" s="34" t="s">
        <v>773</v>
      </c>
      <c r="Z16" s="34" t="s">
        <v>773</v>
      </c>
      <c r="AA16" s="34" t="s">
        <v>773</v>
      </c>
      <c r="AB16" s="34" t="s">
        <v>773</v>
      </c>
      <c r="AC16" s="34" t="s">
        <v>773</v>
      </c>
      <c r="AD16" s="34" t="s">
        <v>773</v>
      </c>
      <c r="AE16" s="34" t="s">
        <v>797</v>
      </c>
      <c r="AF16" s="34" t="s">
        <v>797</v>
      </c>
    </row>
    <row r="17" customFormat="false" ht="15.75" hidden="false" customHeight="false" outlineLevel="0" collapsed="false">
      <c r="A17" s="2" t="n">
        <v>42858.8187615741</v>
      </c>
      <c r="B17" s="1" t="s">
        <v>832</v>
      </c>
      <c r="C17" s="1" t="s">
        <v>833</v>
      </c>
      <c r="D17" s="1" t="n">
        <v>8</v>
      </c>
      <c r="E17" s="1" t="n">
        <v>117</v>
      </c>
      <c r="G17" s="3" t="s">
        <v>834</v>
      </c>
      <c r="H17" s="1" t="s">
        <v>835</v>
      </c>
      <c r="I17" s="1" t="s">
        <v>783</v>
      </c>
      <c r="J17" s="1" t="s">
        <v>795</v>
      </c>
      <c r="K17" s="1" t="n">
        <v>2</v>
      </c>
      <c r="L17" s="22" t="e">
        <f aca="false" t="array" ref="L17:L17">IF(COUNTIF(concat(TRIM('Переформатированный ответ'!$B$2:$B$172),TRIM('Переформатированный ответ'!$C$2:$C$172)),concat(TRIM(B17),TRIM(C17))) &gt; 0,"Есть","Нет")</f>
        <v>#NAME?</v>
      </c>
      <c r="M17" s="34" t="s">
        <v>797</v>
      </c>
      <c r="N17" s="34" t="s">
        <v>797</v>
      </c>
      <c r="O17" s="34" t="s">
        <v>797</v>
      </c>
      <c r="P17" s="34" t="s">
        <v>797</v>
      </c>
      <c r="Q17" s="34" t="s">
        <v>797</v>
      </c>
      <c r="R17" s="34" t="s">
        <v>797</v>
      </c>
      <c r="S17" s="34" t="s">
        <v>797</v>
      </c>
      <c r="T17" s="34" t="s">
        <v>797</v>
      </c>
      <c r="U17" s="34" t="s">
        <v>797</v>
      </c>
      <c r="V17" s="34" t="s">
        <v>797</v>
      </c>
      <c r="W17" s="34" t="s">
        <v>773</v>
      </c>
      <c r="X17" s="34" t="s">
        <v>773</v>
      </c>
      <c r="Y17" s="34" t="s">
        <v>773</v>
      </c>
      <c r="Z17" s="34" t="s">
        <v>773</v>
      </c>
      <c r="AA17" s="34" t="s">
        <v>797</v>
      </c>
      <c r="AB17" s="34" t="s">
        <v>797</v>
      </c>
      <c r="AC17" s="34" t="s">
        <v>773</v>
      </c>
      <c r="AD17" s="34" t="s">
        <v>773</v>
      </c>
      <c r="AE17" s="34" t="s">
        <v>797</v>
      </c>
      <c r="AF17" s="34" t="s">
        <v>797</v>
      </c>
    </row>
    <row r="18" customFormat="false" ht="15.75" hidden="false" customHeight="false" outlineLevel="0" collapsed="false">
      <c r="A18" s="2" t="n">
        <v>42858.844837963</v>
      </c>
      <c r="B18" s="1" t="s">
        <v>349</v>
      </c>
      <c r="C18" s="1" t="s">
        <v>350</v>
      </c>
      <c r="D18" s="1" t="n">
        <v>9</v>
      </c>
      <c r="E18" s="1" t="n">
        <v>64</v>
      </c>
      <c r="G18" s="3" t="s">
        <v>836</v>
      </c>
      <c r="H18" s="1" t="s">
        <v>837</v>
      </c>
      <c r="I18" s="1" t="s">
        <v>827</v>
      </c>
      <c r="J18" s="1" t="s">
        <v>791</v>
      </c>
      <c r="K18" s="1" t="n">
        <v>2</v>
      </c>
      <c r="L18" s="22" t="e">
        <f aca="false" t="array" ref="L18:L18">IF(COUNTIF(concat(TRIM('Переформатированный ответ'!$B$2:$B$172),TRIM('Переформатированный ответ'!$C$2:$C$172)),concat(TRIM(B18),TRIM(C18))) &gt; 0,"Есть","Нет")</f>
        <v>#NAME?</v>
      </c>
      <c r="M18" s="34" t="s">
        <v>773</v>
      </c>
      <c r="N18" s="34" t="s">
        <v>773</v>
      </c>
      <c r="O18" s="34" t="s">
        <v>773</v>
      </c>
      <c r="P18" s="34" t="s">
        <v>773</v>
      </c>
      <c r="Q18" s="34" t="s">
        <v>773</v>
      </c>
      <c r="R18" s="34" t="s">
        <v>773</v>
      </c>
      <c r="S18" s="34" t="s">
        <v>773</v>
      </c>
      <c r="T18" s="34" t="s">
        <v>773</v>
      </c>
      <c r="U18" s="34" t="s">
        <v>773</v>
      </c>
      <c r="V18" s="34" t="s">
        <v>773</v>
      </c>
      <c r="W18" s="34" t="s">
        <v>773</v>
      </c>
      <c r="X18" s="34" t="s">
        <v>773</v>
      </c>
      <c r="Y18" s="34" t="s">
        <v>773</v>
      </c>
      <c r="Z18" s="34" t="s">
        <v>773</v>
      </c>
      <c r="AA18" s="34" t="s">
        <v>797</v>
      </c>
      <c r="AB18" s="34" t="s">
        <v>797</v>
      </c>
      <c r="AC18" s="34" t="s">
        <v>773</v>
      </c>
      <c r="AD18" s="34" t="s">
        <v>773</v>
      </c>
      <c r="AE18" s="34" t="s">
        <v>773</v>
      </c>
      <c r="AF18" s="34" t="s">
        <v>773</v>
      </c>
    </row>
    <row r="19" customFormat="false" ht="15.75" hidden="false" customHeight="false" outlineLevel="0" collapsed="false">
      <c r="A19" s="2" t="n">
        <v>42858.8527777778</v>
      </c>
      <c r="B19" s="1" t="s">
        <v>838</v>
      </c>
      <c r="C19" s="1" t="s">
        <v>115</v>
      </c>
      <c r="D19" s="1" t="n">
        <v>10</v>
      </c>
      <c r="E19" s="1" t="n">
        <v>117</v>
      </c>
      <c r="G19" s="3" t="s">
        <v>839</v>
      </c>
      <c r="H19" s="1" t="s">
        <v>840</v>
      </c>
      <c r="I19" s="1" t="s">
        <v>795</v>
      </c>
      <c r="J19" s="1" t="s">
        <v>801</v>
      </c>
      <c r="K19" s="1" t="n">
        <v>2</v>
      </c>
      <c r="L19" s="22" t="e">
        <f aca="false" t="array" ref="L19:L19">IF(COUNTIF(concat(TRIM('Переформатированный ответ'!$B$2:$B$172),TRIM('Переформатированный ответ'!$C$2:$C$172)),concat(TRIM(B19),TRIM(C19))) &gt; 0,"Есть","Нет")</f>
        <v>#NAME?</v>
      </c>
      <c r="M19" s="34" t="s">
        <v>773</v>
      </c>
      <c r="N19" s="34" t="s">
        <v>773</v>
      </c>
      <c r="O19" s="34" t="s">
        <v>773</v>
      </c>
      <c r="P19" s="34" t="s">
        <v>773</v>
      </c>
      <c r="Q19" s="34" t="s">
        <v>773</v>
      </c>
      <c r="R19" s="34" t="s">
        <v>773</v>
      </c>
      <c r="S19" s="34" t="s">
        <v>773</v>
      </c>
      <c r="T19" s="34" t="s">
        <v>773</v>
      </c>
      <c r="U19" s="34" t="s">
        <v>797</v>
      </c>
      <c r="V19" s="34" t="s">
        <v>797</v>
      </c>
      <c r="W19" s="34" t="s">
        <v>773</v>
      </c>
      <c r="X19" s="34" t="s">
        <v>773</v>
      </c>
      <c r="Y19" s="34" t="s">
        <v>773</v>
      </c>
      <c r="Z19" s="34" t="s">
        <v>773</v>
      </c>
      <c r="AA19" s="34" t="s">
        <v>773</v>
      </c>
      <c r="AB19" s="34" t="s">
        <v>773</v>
      </c>
      <c r="AC19" s="34" t="s">
        <v>773</v>
      </c>
      <c r="AD19" s="34" t="s">
        <v>773</v>
      </c>
      <c r="AE19" s="34" t="s">
        <v>797</v>
      </c>
      <c r="AF19" s="34" t="s">
        <v>797</v>
      </c>
    </row>
    <row r="20" customFormat="false" ht="15.75" hidden="false" customHeight="false" outlineLevel="0" collapsed="false">
      <c r="A20" s="2" t="n">
        <v>42859.7036111111</v>
      </c>
      <c r="B20" s="1" t="s">
        <v>841</v>
      </c>
      <c r="C20" s="1" t="s">
        <v>182</v>
      </c>
      <c r="D20" s="1" t="n">
        <v>10</v>
      </c>
      <c r="E20" s="1" t="s">
        <v>470</v>
      </c>
      <c r="F20" s="1" t="s">
        <v>842</v>
      </c>
      <c r="G20" s="3" t="s">
        <v>843</v>
      </c>
      <c r="H20" s="1" t="s">
        <v>844</v>
      </c>
      <c r="I20" s="1" t="s">
        <v>795</v>
      </c>
      <c r="J20" s="1" t="s">
        <v>784</v>
      </c>
      <c r="K20" s="1" t="n">
        <v>2</v>
      </c>
      <c r="L20" s="22" t="e">
        <f aca="false" t="array" ref="L20:L20">IF(COUNTIF(concat(TRIM('Переформатированный ответ'!$B$2:$B$172),TRIM('Переформатированный ответ'!$C$2:$C$172)),concat(TRIM(B20),TRIM(C20))) &gt; 0,"Есть","Нет")</f>
        <v>#NAME?</v>
      </c>
      <c r="M20" s="34" t="s">
        <v>773</v>
      </c>
      <c r="N20" s="34" t="s">
        <v>773</v>
      </c>
      <c r="O20" s="34" t="s">
        <v>773</v>
      </c>
      <c r="P20" s="34" t="s">
        <v>773</v>
      </c>
      <c r="Q20" s="34" t="s">
        <v>773</v>
      </c>
      <c r="R20" s="34" t="s">
        <v>773</v>
      </c>
      <c r="S20" s="34" t="s">
        <v>773</v>
      </c>
      <c r="T20" s="34" t="s">
        <v>773</v>
      </c>
      <c r="U20" s="34" t="s">
        <v>773</v>
      </c>
      <c r="V20" s="34" t="s">
        <v>773</v>
      </c>
      <c r="W20" s="34" t="s">
        <v>773</v>
      </c>
      <c r="X20" s="34" t="s">
        <v>773</v>
      </c>
      <c r="Y20" s="34" t="s">
        <v>773</v>
      </c>
      <c r="Z20" s="34" t="s">
        <v>773</v>
      </c>
      <c r="AA20" s="34" t="s">
        <v>797</v>
      </c>
      <c r="AB20" s="34" t="s">
        <v>797</v>
      </c>
      <c r="AC20" s="34" t="s">
        <v>797</v>
      </c>
      <c r="AD20" s="34" t="s">
        <v>797</v>
      </c>
      <c r="AE20" s="34"/>
      <c r="AF20" s="34"/>
    </row>
    <row r="21" customFormat="false" ht="15.75" hidden="false" customHeight="false" outlineLevel="0" collapsed="false">
      <c r="A21" s="2" t="n">
        <v>42860.1956597222</v>
      </c>
      <c r="B21" s="1" t="s">
        <v>845</v>
      </c>
      <c r="C21" s="1" t="s">
        <v>286</v>
      </c>
      <c r="D21" s="1" t="n">
        <v>9</v>
      </c>
      <c r="E21" s="1" t="s">
        <v>846</v>
      </c>
      <c r="G21" s="1" t="s">
        <v>825</v>
      </c>
      <c r="H21" s="1" t="s">
        <v>847</v>
      </c>
      <c r="I21" s="1" t="s">
        <v>783</v>
      </c>
      <c r="J21" s="1" t="s">
        <v>784</v>
      </c>
      <c r="K21" s="1" t="n">
        <v>2</v>
      </c>
      <c r="L21" s="22" t="e">
        <f aca="false" t="array" ref="L21:L21">IF(COUNTIF(concat(TRIM('Переформатированный ответ'!$B$2:$B$172),TRIM('Переформатированный ответ'!$C$2:$C$172)),concat(TRIM(B21),TRIM(C21))) &gt; 0,"Есть","Нет")</f>
        <v>#NAME?</v>
      </c>
      <c r="M21" s="34" t="s">
        <v>797</v>
      </c>
      <c r="N21" s="34" t="s">
        <v>797</v>
      </c>
      <c r="O21" s="34" t="s">
        <v>797</v>
      </c>
      <c r="P21" s="34" t="s">
        <v>797</v>
      </c>
      <c r="Q21" s="34" t="s">
        <v>797</v>
      </c>
      <c r="R21" s="34" t="s">
        <v>797</v>
      </c>
      <c r="S21" s="34" t="s">
        <v>797</v>
      </c>
      <c r="T21" s="34" t="s">
        <v>797</v>
      </c>
      <c r="U21" s="34" t="s">
        <v>797</v>
      </c>
      <c r="V21" s="34" t="s">
        <v>797</v>
      </c>
      <c r="W21" s="34" t="s">
        <v>797</v>
      </c>
      <c r="X21" s="34" t="s">
        <v>797</v>
      </c>
      <c r="Y21" s="34" t="s">
        <v>797</v>
      </c>
      <c r="Z21" s="34" t="s">
        <v>797</v>
      </c>
      <c r="AA21" s="34" t="s">
        <v>797</v>
      </c>
      <c r="AB21" s="34" t="s">
        <v>797</v>
      </c>
      <c r="AC21" s="34" t="s">
        <v>797</v>
      </c>
      <c r="AD21" s="34" t="s">
        <v>797</v>
      </c>
      <c r="AE21" s="34"/>
      <c r="AF21" s="34"/>
    </row>
    <row r="22" customFormat="false" ht="15.75" hidden="false" customHeight="false" outlineLevel="0" collapsed="false">
      <c r="A22" s="2" t="n">
        <v>42860.6522916667</v>
      </c>
      <c r="B22" s="1" t="s">
        <v>160</v>
      </c>
      <c r="C22" s="1" t="s">
        <v>161</v>
      </c>
      <c r="D22" s="1" t="n">
        <v>9</v>
      </c>
      <c r="E22" s="1" t="n">
        <v>64</v>
      </c>
      <c r="G22" s="3" t="s">
        <v>162</v>
      </c>
      <c r="H22" s="1" t="s">
        <v>848</v>
      </c>
      <c r="I22" s="1" t="s">
        <v>815</v>
      </c>
      <c r="J22" s="1" t="s">
        <v>796</v>
      </c>
      <c r="K22" s="1" t="n">
        <v>2</v>
      </c>
      <c r="L22" s="22" t="e">
        <f aca="false" t="array" ref="L22:L22">IF(COUNTIF(concat(TRIM('Переформатированный ответ'!$B$2:$B$172),TRIM('Переформатированный ответ'!$C$2:$C$172)),concat(TRIM(B22),TRIM(C22))) &gt; 0,"Есть","Нет")</f>
        <v>#NAME?</v>
      </c>
      <c r="M22" s="34" t="s">
        <v>773</v>
      </c>
      <c r="N22" s="34" t="s">
        <v>773</v>
      </c>
      <c r="O22" s="34" t="s">
        <v>773</v>
      </c>
      <c r="P22" s="34" t="s">
        <v>773</v>
      </c>
      <c r="Q22" s="34" t="s">
        <v>773</v>
      </c>
      <c r="R22" s="34" t="s">
        <v>773</v>
      </c>
      <c r="S22" s="34" t="s">
        <v>773</v>
      </c>
      <c r="T22" s="34" t="s">
        <v>773</v>
      </c>
      <c r="U22" s="34" t="s">
        <v>773</v>
      </c>
      <c r="V22" s="34" t="s">
        <v>773</v>
      </c>
      <c r="W22" s="34" t="s">
        <v>773</v>
      </c>
      <c r="X22" s="34" t="s">
        <v>773</v>
      </c>
      <c r="Y22" s="34" t="s">
        <v>773</v>
      </c>
      <c r="Z22" s="34" t="s">
        <v>773</v>
      </c>
      <c r="AA22" s="34" t="s">
        <v>797</v>
      </c>
      <c r="AB22" s="34" t="s">
        <v>797</v>
      </c>
      <c r="AC22" s="34" t="s">
        <v>797</v>
      </c>
      <c r="AD22" s="34" t="s">
        <v>797</v>
      </c>
      <c r="AE22" s="34" t="s">
        <v>797</v>
      </c>
      <c r="AF22" s="34" t="s">
        <v>797</v>
      </c>
    </row>
    <row r="23" customFormat="false" ht="15.75" hidden="false" customHeight="false" outlineLevel="0" collapsed="false">
      <c r="A23" s="2" t="n">
        <v>42860.8917592593</v>
      </c>
      <c r="B23" s="1" t="s">
        <v>849</v>
      </c>
      <c r="C23" s="1" t="s">
        <v>155</v>
      </c>
      <c r="D23" s="1" t="n">
        <v>10</v>
      </c>
      <c r="E23" s="1" t="s">
        <v>305</v>
      </c>
      <c r="G23" s="3" t="s">
        <v>850</v>
      </c>
      <c r="H23" s="1" t="s">
        <v>851</v>
      </c>
      <c r="I23" s="1" t="s">
        <v>827</v>
      </c>
      <c r="J23" s="1" t="s">
        <v>815</v>
      </c>
      <c r="K23" s="1" t="n">
        <v>2</v>
      </c>
      <c r="L23" s="22" t="e">
        <f aca="false" t="array" ref="L23:L23">IF(COUNTIF(concat(TRIM('Переформатированный ответ'!$B$2:$B$172),TRIM('Переформатированный ответ'!$C$2:$C$172)),concat(TRIM(B23),TRIM(C23))) &gt; 0,"Есть","Нет")</f>
        <v>#NAME?</v>
      </c>
      <c r="M23" s="34" t="s">
        <v>797</v>
      </c>
      <c r="N23" s="34" t="s">
        <v>797</v>
      </c>
      <c r="O23" s="34" t="s">
        <v>797</v>
      </c>
      <c r="P23" s="34" t="s">
        <v>797</v>
      </c>
      <c r="Q23" s="34" t="s">
        <v>797</v>
      </c>
      <c r="R23" s="34" t="s">
        <v>797</v>
      </c>
      <c r="S23" s="34" t="s">
        <v>797</v>
      </c>
      <c r="T23" s="34" t="s">
        <v>797</v>
      </c>
      <c r="U23" s="34" t="s">
        <v>797</v>
      </c>
      <c r="V23" s="34" t="s">
        <v>797</v>
      </c>
      <c r="W23" s="34" t="s">
        <v>797</v>
      </c>
      <c r="X23" s="34" t="s">
        <v>797</v>
      </c>
      <c r="Y23" s="34" t="s">
        <v>797</v>
      </c>
      <c r="Z23" s="34" t="s">
        <v>797</v>
      </c>
      <c r="AA23" s="34" t="s">
        <v>797</v>
      </c>
      <c r="AB23" s="34" t="s">
        <v>797</v>
      </c>
      <c r="AC23" s="34" t="s">
        <v>797</v>
      </c>
      <c r="AD23" s="34" t="s">
        <v>797</v>
      </c>
      <c r="AE23" s="34" t="s">
        <v>797</v>
      </c>
      <c r="AF23" s="34" t="s">
        <v>797</v>
      </c>
    </row>
    <row r="24" customFormat="false" ht="15.75" hidden="false" customHeight="false" outlineLevel="0" collapsed="false">
      <c r="A24" s="2" t="n">
        <v>42861.2861111111</v>
      </c>
      <c r="B24" s="1" t="s">
        <v>569</v>
      </c>
      <c r="C24" s="1" t="s">
        <v>61</v>
      </c>
      <c r="D24" s="1" t="n">
        <v>8</v>
      </c>
      <c r="E24" s="1" t="s">
        <v>852</v>
      </c>
      <c r="G24" s="3" t="s">
        <v>853</v>
      </c>
      <c r="H24" s="1" t="s">
        <v>573</v>
      </c>
      <c r="I24" s="1" t="s">
        <v>795</v>
      </c>
      <c r="J24" s="1" t="s">
        <v>827</v>
      </c>
      <c r="K24" s="1" t="n">
        <v>2</v>
      </c>
      <c r="L24" s="22" t="e">
        <f aca="false" t="array" ref="L24:L24">IF(COUNTIF(concat(TRIM('Переформатированный ответ'!$B$2:$B$172),TRIM('Переформатированный ответ'!$C$2:$C$172)),concat(TRIM(B24),TRIM(C24))) &gt; 0,"Есть","Нет")</f>
        <v>#NAME?</v>
      </c>
      <c r="M24" s="34" t="s">
        <v>773</v>
      </c>
      <c r="N24" s="34" t="s">
        <v>773</v>
      </c>
      <c r="O24" s="34" t="s">
        <v>773</v>
      </c>
      <c r="P24" s="34" t="s">
        <v>773</v>
      </c>
      <c r="Q24" s="34" t="s">
        <v>773</v>
      </c>
      <c r="R24" s="34" t="s">
        <v>773</v>
      </c>
      <c r="S24" s="34" t="s">
        <v>773</v>
      </c>
      <c r="T24" s="34" t="s">
        <v>773</v>
      </c>
      <c r="U24" s="34" t="s">
        <v>773</v>
      </c>
      <c r="V24" s="34" t="s">
        <v>773</v>
      </c>
      <c r="W24" s="34" t="s">
        <v>773</v>
      </c>
      <c r="X24" s="34" t="s">
        <v>773</v>
      </c>
      <c r="Y24" s="34" t="s">
        <v>773</v>
      </c>
      <c r="Z24" s="34" t="s">
        <v>773</v>
      </c>
      <c r="AA24" s="34" t="s">
        <v>773</v>
      </c>
      <c r="AB24" s="34" t="s">
        <v>773</v>
      </c>
      <c r="AC24" s="34" t="s">
        <v>773</v>
      </c>
      <c r="AD24" s="34" t="s">
        <v>773</v>
      </c>
      <c r="AE24" s="34" t="s">
        <v>773</v>
      </c>
      <c r="AF24" s="34" t="s">
        <v>773</v>
      </c>
    </row>
    <row r="25" customFormat="false" ht="15.75" hidden="false" customHeight="false" outlineLevel="0" collapsed="false">
      <c r="A25" s="2" t="n">
        <v>42862.2518402778</v>
      </c>
      <c r="B25" s="1" t="s">
        <v>854</v>
      </c>
      <c r="C25" s="1" t="s">
        <v>237</v>
      </c>
      <c r="D25" s="1" t="n">
        <v>8</v>
      </c>
      <c r="E25" s="1" t="s">
        <v>855</v>
      </c>
      <c r="F25" s="1" t="s">
        <v>856</v>
      </c>
      <c r="G25" s="3" t="s">
        <v>857</v>
      </c>
      <c r="H25" s="1" t="s">
        <v>858</v>
      </c>
      <c r="I25" s="1" t="s">
        <v>815</v>
      </c>
      <c r="K25" s="1" t="n">
        <v>2</v>
      </c>
      <c r="L25" s="22" t="e">
        <f aca="false" t="array" ref="L25:L25">IF(COUNTIF(concat(TRIM('Переформатированный ответ'!$B$2:$B$172),TRIM('Переформатированный ответ'!$C$2:$C$172)),concat(TRIM(B25),TRIM(C25))) &gt; 0,"Есть","Нет")</f>
        <v>#NAME?</v>
      </c>
      <c r="M25" s="34" t="s">
        <v>797</v>
      </c>
      <c r="N25" s="34" t="s">
        <v>797</v>
      </c>
      <c r="O25" s="34" t="s">
        <v>797</v>
      </c>
      <c r="P25" s="34" t="s">
        <v>797</v>
      </c>
      <c r="Q25" s="34" t="s">
        <v>797</v>
      </c>
      <c r="R25" s="34" t="s">
        <v>797</v>
      </c>
      <c r="S25" s="34" t="s">
        <v>797</v>
      </c>
      <c r="T25" s="34" t="s">
        <v>797</v>
      </c>
      <c r="U25" s="34" t="s">
        <v>797</v>
      </c>
      <c r="V25" s="34" t="s">
        <v>797</v>
      </c>
      <c r="W25" s="34"/>
      <c r="X25" s="34"/>
      <c r="Y25" s="34"/>
      <c r="Z25" s="34"/>
      <c r="AA25" s="34"/>
      <c r="AB25" s="34"/>
      <c r="AC25" s="34"/>
      <c r="AD25" s="34"/>
      <c r="AE25" s="34"/>
      <c r="AF25" s="34"/>
    </row>
    <row r="26" customFormat="false" ht="15.75" hidden="false" customHeight="false" outlineLevel="0" collapsed="false">
      <c r="A26" s="2" t="n">
        <v>42862.7635069444</v>
      </c>
      <c r="B26" s="1" t="s">
        <v>331</v>
      </c>
      <c r="C26" s="1" t="s">
        <v>332</v>
      </c>
      <c r="D26" s="1" t="n">
        <v>9</v>
      </c>
      <c r="E26" s="1" t="n">
        <v>117</v>
      </c>
      <c r="G26" s="3" t="s">
        <v>859</v>
      </c>
      <c r="H26" s="1" t="s">
        <v>334</v>
      </c>
      <c r="I26" s="1" t="s">
        <v>790</v>
      </c>
      <c r="J26" s="1" t="s">
        <v>815</v>
      </c>
      <c r="K26" s="1" t="n">
        <v>2</v>
      </c>
      <c r="L26" s="22" t="e">
        <f aca="false" t="array" ref="L26:L26">IF(COUNTIF(concat(TRIM('Переформатированный ответ'!$B$2:$B$172),TRIM('Переформатированный ответ'!$C$2:$C$172)),concat(TRIM(B26),TRIM(C26))) &gt; 0,"Есть","Нет")</f>
        <v>#NAME?</v>
      </c>
      <c r="M26" s="34" t="s">
        <v>773</v>
      </c>
      <c r="N26" s="34" t="s">
        <v>773</v>
      </c>
      <c r="O26" s="34" t="s">
        <v>773</v>
      </c>
      <c r="P26" s="34" t="s">
        <v>773</v>
      </c>
      <c r="Q26" s="34" t="s">
        <v>773</v>
      </c>
      <c r="R26" s="34" t="s">
        <v>773</v>
      </c>
      <c r="S26" s="34" t="s">
        <v>773</v>
      </c>
      <c r="T26" s="34" t="s">
        <v>773</v>
      </c>
      <c r="U26" s="34" t="s">
        <v>773</v>
      </c>
      <c r="V26" s="34" t="s">
        <v>773</v>
      </c>
      <c r="W26" s="34" t="s">
        <v>773</v>
      </c>
      <c r="X26" s="34" t="s">
        <v>773</v>
      </c>
      <c r="Y26" s="34" t="s">
        <v>773</v>
      </c>
      <c r="Z26" s="34" t="s">
        <v>773</v>
      </c>
      <c r="AA26" s="34" t="s">
        <v>773</v>
      </c>
      <c r="AB26" s="34" t="s">
        <v>773</v>
      </c>
      <c r="AC26" s="34" t="s">
        <v>773</v>
      </c>
      <c r="AD26" s="34" t="s">
        <v>773</v>
      </c>
      <c r="AE26" s="34" t="s">
        <v>773</v>
      </c>
      <c r="AF26" s="34" t="s">
        <v>773</v>
      </c>
    </row>
    <row r="27" customFormat="false" ht="15.75" hidden="false" customHeight="false" outlineLevel="0" collapsed="false">
      <c r="A27" s="2" t="n">
        <v>42863.3321527778</v>
      </c>
      <c r="B27" s="1" t="s">
        <v>860</v>
      </c>
      <c r="C27" s="1" t="s">
        <v>861</v>
      </c>
      <c r="D27" s="1" t="n">
        <v>9</v>
      </c>
      <c r="E27" s="1" t="s">
        <v>862</v>
      </c>
      <c r="G27" s="3" t="s">
        <v>863</v>
      </c>
      <c r="H27" s="1" t="s">
        <v>864</v>
      </c>
      <c r="I27" s="1" t="s">
        <v>806</v>
      </c>
      <c r="J27" s="1" t="s">
        <v>815</v>
      </c>
      <c r="K27" s="1" t="n">
        <v>2</v>
      </c>
      <c r="L27" s="22" t="e">
        <f aca="false" t="array" ref="L27:L27">IF(COUNTIF(concat(TRIM('Переформатированный ответ'!$B$2:$B$172),TRIM('Переформатированный ответ'!$C$2:$C$172)),concat(TRIM(B27),TRIM(C27))) &gt; 0,"Есть","Нет")</f>
        <v>#NAME?</v>
      </c>
      <c r="M27" s="34" t="s">
        <v>797</v>
      </c>
      <c r="N27" s="34" t="s">
        <v>797</v>
      </c>
      <c r="O27" s="34" t="s">
        <v>797</v>
      </c>
      <c r="P27" s="34" t="s">
        <v>797</v>
      </c>
      <c r="Q27" s="34" t="s">
        <v>797</v>
      </c>
      <c r="R27" s="34" t="s">
        <v>797</v>
      </c>
      <c r="S27" s="34" t="s">
        <v>797</v>
      </c>
      <c r="T27" s="34" t="s">
        <v>797</v>
      </c>
      <c r="U27" s="34" t="s">
        <v>797</v>
      </c>
      <c r="V27" s="34" t="s">
        <v>797</v>
      </c>
      <c r="W27" s="34" t="s">
        <v>797</v>
      </c>
      <c r="X27" s="34" t="s">
        <v>797</v>
      </c>
      <c r="Y27" s="34" t="s">
        <v>797</v>
      </c>
      <c r="Z27" s="34" t="s">
        <v>797</v>
      </c>
      <c r="AA27" s="34" t="s">
        <v>797</v>
      </c>
      <c r="AB27" s="34" t="s">
        <v>797</v>
      </c>
      <c r="AC27" s="34" t="s">
        <v>797</v>
      </c>
      <c r="AD27" s="34" t="s">
        <v>797</v>
      </c>
      <c r="AE27" s="34" t="s">
        <v>797</v>
      </c>
      <c r="AF27" s="34" t="s">
        <v>797</v>
      </c>
    </row>
    <row r="28" customFormat="false" ht="15.75" hidden="false" customHeight="false" outlineLevel="0" collapsed="false">
      <c r="A28" s="2" t="n">
        <v>42863.7634606482</v>
      </c>
      <c r="B28" s="1" t="s">
        <v>865</v>
      </c>
      <c r="C28" s="1" t="s">
        <v>672</v>
      </c>
      <c r="D28" s="1" t="n">
        <v>10</v>
      </c>
      <c r="E28" s="1" t="s">
        <v>103</v>
      </c>
      <c r="G28" s="3" t="s">
        <v>866</v>
      </c>
      <c r="H28" s="1" t="s">
        <v>867</v>
      </c>
      <c r="I28" s="1" t="s">
        <v>827</v>
      </c>
      <c r="J28" s="1" t="s">
        <v>806</v>
      </c>
      <c r="K28" s="1" t="n">
        <v>2</v>
      </c>
      <c r="L28" s="22" t="e">
        <f aca="false" t="array" ref="L28:L28">IF(COUNTIF(concat(TRIM('Переформатированный ответ'!$B$2:$B$172),TRIM('Переформатированный ответ'!$C$2:$C$172)),concat(TRIM(B28),TRIM(C28))) &gt; 0,"Есть","Нет")</f>
        <v>#NAME?</v>
      </c>
      <c r="M28" s="34" t="s">
        <v>773</v>
      </c>
      <c r="N28" s="34" t="s">
        <v>773</v>
      </c>
      <c r="O28" s="34" t="s">
        <v>773</v>
      </c>
      <c r="P28" s="34" t="s">
        <v>773</v>
      </c>
      <c r="Q28" s="34" t="s">
        <v>797</v>
      </c>
      <c r="R28" s="34" t="s">
        <v>797</v>
      </c>
      <c r="S28" s="34" t="s">
        <v>797</v>
      </c>
      <c r="T28" s="34" t="s">
        <v>797</v>
      </c>
      <c r="U28" s="34" t="s">
        <v>797</v>
      </c>
      <c r="V28" s="34" t="s">
        <v>797</v>
      </c>
      <c r="W28" s="34" t="s">
        <v>773</v>
      </c>
      <c r="X28" s="34" t="s">
        <v>773</v>
      </c>
      <c r="Y28" s="34" t="s">
        <v>773</v>
      </c>
      <c r="Z28" s="34" t="s">
        <v>773</v>
      </c>
      <c r="AA28" s="34" t="s">
        <v>773</v>
      </c>
      <c r="AB28" s="34" t="s">
        <v>773</v>
      </c>
      <c r="AC28" s="34" t="s">
        <v>773</v>
      </c>
      <c r="AD28" s="34" t="s">
        <v>773</v>
      </c>
      <c r="AE28" s="34" t="s">
        <v>773</v>
      </c>
      <c r="AF28" s="34" t="s">
        <v>773</v>
      </c>
    </row>
    <row r="29" customFormat="false" ht="15.75" hidden="false" customHeight="false" outlineLevel="0" collapsed="false">
      <c r="A29" s="2" t="n">
        <v>42863.772974537</v>
      </c>
      <c r="B29" s="1" t="s">
        <v>868</v>
      </c>
      <c r="C29" s="1" t="s">
        <v>25</v>
      </c>
      <c r="D29" s="1" t="n">
        <v>9</v>
      </c>
      <c r="E29" s="1" t="s">
        <v>26</v>
      </c>
      <c r="F29" s="1" t="s">
        <v>869</v>
      </c>
      <c r="G29" s="1" t="s">
        <v>870</v>
      </c>
      <c r="H29" s="1" t="s">
        <v>871</v>
      </c>
      <c r="I29" s="1" t="s">
        <v>790</v>
      </c>
      <c r="J29" s="1" t="s">
        <v>801</v>
      </c>
      <c r="K29" s="1" t="n">
        <v>1</v>
      </c>
      <c r="L29" s="22" t="e">
        <f aca="false" t="array" ref="L29:L29">IF(COUNTIF(concat(TRIM('Переформатированный ответ'!$B$2:$B$172),TRIM('Переформатированный ответ'!$C$2:$C$172)),concat(TRIM(B29),TRIM(C29))) &gt; 0,"Есть","Нет")</f>
        <v>#NAME?</v>
      </c>
      <c r="M29" s="34" t="s">
        <v>797</v>
      </c>
      <c r="N29" s="34" t="s">
        <v>797</v>
      </c>
      <c r="O29" s="34" t="s">
        <v>797</v>
      </c>
      <c r="P29" s="34" t="s">
        <v>797</v>
      </c>
      <c r="Q29" s="34" t="s">
        <v>797</v>
      </c>
      <c r="R29" s="34" t="s">
        <v>797</v>
      </c>
      <c r="S29" s="34" t="s">
        <v>797</v>
      </c>
      <c r="T29" s="34" t="s">
        <v>797</v>
      </c>
      <c r="U29" s="34" t="s">
        <v>797</v>
      </c>
      <c r="V29" s="34" t="s">
        <v>797</v>
      </c>
      <c r="W29" s="34" t="s">
        <v>797</v>
      </c>
      <c r="X29" s="34" t="s">
        <v>797</v>
      </c>
      <c r="Y29" s="34" t="s">
        <v>797</v>
      </c>
      <c r="Z29" s="34" t="s">
        <v>797</v>
      </c>
      <c r="AA29" s="34" t="s">
        <v>797</v>
      </c>
      <c r="AB29" s="34" t="s">
        <v>797</v>
      </c>
      <c r="AC29" s="34" t="s">
        <v>797</v>
      </c>
      <c r="AD29" s="34" t="s">
        <v>797</v>
      </c>
      <c r="AE29" s="34" t="s">
        <v>797</v>
      </c>
      <c r="AF29" s="34" t="s">
        <v>797</v>
      </c>
    </row>
    <row r="30" customFormat="false" ht="15.75" hidden="false" customHeight="false" outlineLevel="0" collapsed="false">
      <c r="A30" s="2" t="n">
        <v>42863.8359837963</v>
      </c>
      <c r="B30" s="1" t="s">
        <v>872</v>
      </c>
      <c r="C30" s="1" t="s">
        <v>199</v>
      </c>
      <c r="D30" s="1" t="n">
        <v>10</v>
      </c>
      <c r="E30" s="1" t="s">
        <v>873</v>
      </c>
      <c r="G30" s="3" t="s">
        <v>874</v>
      </c>
      <c r="H30" s="1" t="s">
        <v>875</v>
      </c>
      <c r="I30" s="1" t="s">
        <v>791</v>
      </c>
      <c r="J30" s="1" t="s">
        <v>791</v>
      </c>
      <c r="K30" s="1" t="n">
        <v>2</v>
      </c>
      <c r="L30" s="22" t="e">
        <f aca="false" t="array" ref="L30:L30">IF(COUNTIF(concat(TRIM('Переформатированный ответ'!$B$2:$B$172),TRIM('Переформатированный ответ'!$C$2:$C$172)),concat(TRIM(B30),TRIM(C30))) &gt; 0,"Есть","Нет")</f>
        <v>#NAME?</v>
      </c>
      <c r="M30" s="34" t="s">
        <v>773</v>
      </c>
      <c r="N30" s="34" t="s">
        <v>773</v>
      </c>
      <c r="O30" s="34" t="s">
        <v>773</v>
      </c>
      <c r="P30" s="34" t="s">
        <v>773</v>
      </c>
      <c r="Q30" s="34" t="s">
        <v>773</v>
      </c>
      <c r="R30" s="34" t="s">
        <v>773</v>
      </c>
      <c r="S30" s="34" t="s">
        <v>773</v>
      </c>
      <c r="T30" s="34" t="s">
        <v>773</v>
      </c>
      <c r="U30" s="34" t="s">
        <v>773</v>
      </c>
      <c r="V30" s="34" t="s">
        <v>773</v>
      </c>
      <c r="W30" s="34" t="s">
        <v>773</v>
      </c>
      <c r="X30" s="34" t="s">
        <v>773</v>
      </c>
      <c r="Y30" s="34" t="s">
        <v>773</v>
      </c>
      <c r="Z30" s="34" t="s">
        <v>773</v>
      </c>
      <c r="AA30" s="34" t="s">
        <v>773</v>
      </c>
      <c r="AB30" s="34" t="s">
        <v>773</v>
      </c>
      <c r="AC30" s="34" t="s">
        <v>773</v>
      </c>
      <c r="AD30" s="34" t="s">
        <v>773</v>
      </c>
      <c r="AE30" s="34" t="s">
        <v>773</v>
      </c>
      <c r="AF30" s="34" t="s">
        <v>773</v>
      </c>
    </row>
    <row r="31" customFormat="false" ht="15.75" hidden="false" customHeight="false" outlineLevel="0" collapsed="false">
      <c r="A31" s="2" t="n">
        <v>42863.8556481481</v>
      </c>
      <c r="B31" s="1" t="s">
        <v>876</v>
      </c>
      <c r="C31" s="1" t="s">
        <v>877</v>
      </c>
      <c r="D31" s="1" t="n">
        <v>11</v>
      </c>
      <c r="E31" s="1" t="s">
        <v>103</v>
      </c>
      <c r="F31" s="1" t="s">
        <v>878</v>
      </c>
      <c r="G31" s="3" t="s">
        <v>879</v>
      </c>
      <c r="H31" s="1" t="s">
        <v>880</v>
      </c>
      <c r="I31" s="1" t="s">
        <v>795</v>
      </c>
      <c r="J31" s="1" t="s">
        <v>791</v>
      </c>
      <c r="K31" s="1" t="n">
        <v>2</v>
      </c>
      <c r="L31" s="22" t="e">
        <f aca="false" t="array" ref="L31:L31">IF(COUNTIF(concat(TRIM('Переформатированный ответ'!$B$2:$B$172),TRIM('Переформатированный ответ'!$C$2:$C$172)),concat(TRIM(B31),TRIM(C31))) &gt; 0,"Есть","Нет")</f>
        <v>#NAME?</v>
      </c>
      <c r="M31" s="34" t="s">
        <v>773</v>
      </c>
      <c r="N31" s="34" t="s">
        <v>773</v>
      </c>
      <c r="O31" s="34" t="s">
        <v>773</v>
      </c>
      <c r="P31" s="34" t="s">
        <v>773</v>
      </c>
      <c r="Q31" s="34" t="s">
        <v>773</v>
      </c>
      <c r="R31" s="34" t="s">
        <v>773</v>
      </c>
      <c r="S31" s="34" t="s">
        <v>773</v>
      </c>
      <c r="T31" s="34" t="s">
        <v>773</v>
      </c>
      <c r="U31" s="34" t="s">
        <v>773</v>
      </c>
      <c r="V31" s="34" t="s">
        <v>773</v>
      </c>
      <c r="W31" s="34" t="s">
        <v>773</v>
      </c>
      <c r="X31" s="34" t="s">
        <v>773</v>
      </c>
      <c r="Y31" s="34" t="s">
        <v>773</v>
      </c>
      <c r="Z31" s="34" t="s">
        <v>773</v>
      </c>
      <c r="AA31" s="34" t="s">
        <v>773</v>
      </c>
      <c r="AB31" s="34" t="s">
        <v>773</v>
      </c>
      <c r="AC31" s="34" t="s">
        <v>773</v>
      </c>
      <c r="AD31" s="34" t="s">
        <v>773</v>
      </c>
      <c r="AE31" s="34" t="s">
        <v>773</v>
      </c>
      <c r="AF31" s="34" t="s">
        <v>773</v>
      </c>
    </row>
    <row r="32" customFormat="false" ht="15.75" hidden="false" customHeight="false" outlineLevel="0" collapsed="false">
      <c r="A32" s="2" t="n">
        <v>42863.8724768519</v>
      </c>
      <c r="B32" s="1" t="s">
        <v>881</v>
      </c>
      <c r="C32" s="1" t="s">
        <v>53</v>
      </c>
      <c r="D32" s="1" t="n">
        <v>8</v>
      </c>
      <c r="E32" s="1" t="s">
        <v>882</v>
      </c>
      <c r="G32" s="3" t="s">
        <v>883</v>
      </c>
      <c r="H32" s="1" t="s">
        <v>884</v>
      </c>
      <c r="I32" s="1" t="s">
        <v>827</v>
      </c>
      <c r="J32" s="1" t="s">
        <v>784</v>
      </c>
      <c r="K32" s="1" t="n">
        <v>2</v>
      </c>
      <c r="L32" s="22" t="e">
        <f aca="false" t="array" ref="L32:L32">IF(COUNTIF(concat(TRIM('Переформатированный ответ'!$B$2:$B$172),TRIM('Переформатированный ответ'!$C$2:$C$172)),concat(TRIM(B32),TRIM(C32))) &gt; 0,"Есть","Нет")</f>
        <v>#NAME?</v>
      </c>
      <c r="M32" s="34" t="s">
        <v>773</v>
      </c>
      <c r="N32" s="34" t="s">
        <v>773</v>
      </c>
      <c r="O32" s="34" t="s">
        <v>773</v>
      </c>
      <c r="P32" s="34" t="s">
        <v>773</v>
      </c>
      <c r="Q32" s="34" t="s">
        <v>797</v>
      </c>
      <c r="R32" s="34" t="s">
        <v>797</v>
      </c>
      <c r="S32" s="34" t="s">
        <v>773</v>
      </c>
      <c r="T32" s="34" t="s">
        <v>773</v>
      </c>
      <c r="U32" s="34" t="s">
        <v>773</v>
      </c>
      <c r="V32" s="34" t="s">
        <v>773</v>
      </c>
      <c r="W32" s="34" t="s">
        <v>773</v>
      </c>
      <c r="X32" s="34" t="s">
        <v>773</v>
      </c>
      <c r="Y32" s="34" t="s">
        <v>773</v>
      </c>
      <c r="Z32" s="34" t="s">
        <v>773</v>
      </c>
      <c r="AA32" s="34" t="s">
        <v>773</v>
      </c>
      <c r="AB32" s="34" t="s">
        <v>773</v>
      </c>
      <c r="AC32" s="34" t="s">
        <v>773</v>
      </c>
      <c r="AD32" s="34" t="s">
        <v>773</v>
      </c>
      <c r="AE32" s="34" t="s">
        <v>773</v>
      </c>
      <c r="AF32" s="34" t="s">
        <v>773</v>
      </c>
    </row>
    <row r="33" customFormat="false" ht="15.75" hidden="false" customHeight="false" outlineLevel="0" collapsed="false">
      <c r="A33" s="2" t="n">
        <v>42863.8894907407</v>
      </c>
      <c r="B33" s="1" t="s">
        <v>285</v>
      </c>
      <c r="C33" s="1" t="s">
        <v>286</v>
      </c>
      <c r="D33" s="1" t="n">
        <v>9</v>
      </c>
      <c r="E33" s="1" t="n">
        <v>149</v>
      </c>
      <c r="G33" s="3" t="s">
        <v>288</v>
      </c>
      <c r="H33" s="1" t="s">
        <v>885</v>
      </c>
      <c r="I33" s="1" t="s">
        <v>827</v>
      </c>
      <c r="J33" s="1" t="s">
        <v>801</v>
      </c>
      <c r="K33" s="1" t="n">
        <v>2</v>
      </c>
      <c r="L33" s="22" t="e">
        <f aca="false" t="array" ref="L33:L33">IF(COUNTIF(concat(TRIM('Переформатированный ответ'!$B$2:$B$172),TRIM('Переформатированный ответ'!$C$2:$C$172)),concat(TRIM(B33),TRIM(C33))) &gt; 0,"Есть","Нет")</f>
        <v>#NAME?</v>
      </c>
      <c r="M33" s="34" t="s">
        <v>773</v>
      </c>
      <c r="N33" s="34" t="s">
        <v>773</v>
      </c>
      <c r="O33" s="34" t="s">
        <v>773</v>
      </c>
      <c r="P33" s="34" t="s">
        <v>773</v>
      </c>
      <c r="Q33" s="34" t="s">
        <v>773</v>
      </c>
      <c r="R33" s="34" t="s">
        <v>773</v>
      </c>
      <c r="S33" s="34" t="s">
        <v>773</v>
      </c>
      <c r="T33" s="34" t="s">
        <v>773</v>
      </c>
      <c r="U33" s="34" t="s">
        <v>773</v>
      </c>
      <c r="V33" s="34" t="s">
        <v>773</v>
      </c>
      <c r="W33" s="34" t="s">
        <v>773</v>
      </c>
      <c r="X33" s="34" t="s">
        <v>773</v>
      </c>
      <c r="Y33" s="34" t="s">
        <v>773</v>
      </c>
      <c r="Z33" s="34" t="s">
        <v>773</v>
      </c>
      <c r="AA33" s="34" t="s">
        <v>773</v>
      </c>
      <c r="AB33" s="34" t="s">
        <v>773</v>
      </c>
      <c r="AC33" s="34" t="s">
        <v>773</v>
      </c>
      <c r="AD33" s="34" t="s">
        <v>773</v>
      </c>
      <c r="AE33" s="34" t="s">
        <v>773</v>
      </c>
      <c r="AF33" s="34" t="s">
        <v>773</v>
      </c>
    </row>
    <row r="34" customFormat="false" ht="15.75" hidden="false" customHeight="false" outlineLevel="0" collapsed="false">
      <c r="A34" s="2" t="n">
        <v>42864.3187962963</v>
      </c>
      <c r="B34" s="1" t="s">
        <v>886</v>
      </c>
      <c r="C34" s="1" t="s">
        <v>769</v>
      </c>
      <c r="D34" s="1" t="n">
        <v>10</v>
      </c>
      <c r="E34" s="1" t="s">
        <v>305</v>
      </c>
      <c r="F34" s="1" t="s">
        <v>887</v>
      </c>
      <c r="G34" s="3" t="s">
        <v>888</v>
      </c>
      <c r="H34" s="1" t="s">
        <v>889</v>
      </c>
      <c r="I34" s="1" t="s">
        <v>806</v>
      </c>
      <c r="J34" s="1" t="s">
        <v>784</v>
      </c>
      <c r="K34" s="1" t="n">
        <v>2</v>
      </c>
      <c r="L34" s="22" t="e">
        <f aca="false" t="array" ref="L34:L34">IF(COUNTIF(concat(TRIM('Переформатированный ответ'!$B$2:$B$172),TRIM('Переформатированный ответ'!$C$2:$C$172)),concat(TRIM(B34),TRIM(C34))) &gt; 0,"Есть","Нет")</f>
        <v>#NAME?</v>
      </c>
      <c r="M34" s="34" t="s">
        <v>773</v>
      </c>
      <c r="N34" s="34" t="s">
        <v>773</v>
      </c>
      <c r="O34" s="34" t="s">
        <v>773</v>
      </c>
      <c r="P34" s="34" t="s">
        <v>773</v>
      </c>
      <c r="Q34" s="34" t="s">
        <v>773</v>
      </c>
      <c r="R34" s="34" t="s">
        <v>773</v>
      </c>
      <c r="S34" s="34" t="s">
        <v>773</v>
      </c>
      <c r="T34" s="34" t="s">
        <v>773</v>
      </c>
      <c r="U34" s="34" t="s">
        <v>773</v>
      </c>
      <c r="V34" s="34" t="s">
        <v>773</v>
      </c>
      <c r="W34" s="34" t="s">
        <v>773</v>
      </c>
      <c r="X34" s="34" t="s">
        <v>773</v>
      </c>
      <c r="Y34" s="34" t="s">
        <v>773</v>
      </c>
      <c r="Z34" s="34" t="s">
        <v>773</v>
      </c>
      <c r="AA34" s="34" t="s">
        <v>773</v>
      </c>
      <c r="AB34" s="34" t="s">
        <v>773</v>
      </c>
      <c r="AC34" s="34" t="s">
        <v>773</v>
      </c>
      <c r="AD34" s="34" t="s">
        <v>773</v>
      </c>
      <c r="AE34" s="34" t="s">
        <v>773</v>
      </c>
      <c r="AF34" s="34" t="s">
        <v>773</v>
      </c>
    </row>
    <row r="35" customFormat="false" ht="15.75" hidden="false" customHeight="false" outlineLevel="0" collapsed="false">
      <c r="A35" s="2" t="n">
        <v>42864.506400463</v>
      </c>
      <c r="B35" s="1" t="s">
        <v>890</v>
      </c>
      <c r="C35" s="1" t="s">
        <v>53</v>
      </c>
      <c r="D35" s="1" t="n">
        <v>10</v>
      </c>
      <c r="E35" s="1" t="n">
        <v>123</v>
      </c>
      <c r="G35" s="3" t="s">
        <v>891</v>
      </c>
      <c r="H35" s="1" t="s">
        <v>892</v>
      </c>
      <c r="I35" s="1" t="s">
        <v>791</v>
      </c>
      <c r="J35" s="1" t="s">
        <v>795</v>
      </c>
      <c r="K35" s="1" t="n">
        <v>2</v>
      </c>
      <c r="L35" s="22" t="e">
        <f aca="false" t="array" ref="L35:L35">IF(COUNTIF(concat(TRIM('Переформатированный ответ'!$B$2:$B$172),TRIM('Переформатированный ответ'!$C$2:$C$172)),concat(TRIM(B35),TRIM(C35))) &gt; 0,"Есть","Нет")</f>
        <v>#NAME?</v>
      </c>
      <c r="M35" s="34" t="s">
        <v>797</v>
      </c>
      <c r="N35" s="34" t="s">
        <v>797</v>
      </c>
      <c r="O35" s="34" t="s">
        <v>773</v>
      </c>
      <c r="P35" s="34" t="s">
        <v>773</v>
      </c>
      <c r="Q35" s="34" t="s">
        <v>797</v>
      </c>
      <c r="R35" s="34" t="s">
        <v>797</v>
      </c>
      <c r="S35" s="34" t="s">
        <v>797</v>
      </c>
      <c r="T35" s="34" t="s">
        <v>797</v>
      </c>
      <c r="U35" s="34" t="s">
        <v>797</v>
      </c>
      <c r="V35" s="34" t="s">
        <v>797</v>
      </c>
      <c r="W35" s="34" t="s">
        <v>797</v>
      </c>
      <c r="X35" s="34" t="s">
        <v>797</v>
      </c>
      <c r="Y35" s="34" t="s">
        <v>797</v>
      </c>
      <c r="Z35" s="34" t="s">
        <v>797</v>
      </c>
      <c r="AA35" s="34" t="s">
        <v>797</v>
      </c>
      <c r="AB35" s="34" t="s">
        <v>797</v>
      </c>
      <c r="AC35" s="34" t="s">
        <v>797</v>
      </c>
      <c r="AD35" s="34" t="s">
        <v>797</v>
      </c>
      <c r="AE35" s="34" t="s">
        <v>797</v>
      </c>
      <c r="AF35" s="34" t="s">
        <v>797</v>
      </c>
    </row>
    <row r="36" customFormat="false" ht="15.75" hidden="false" customHeight="false" outlineLevel="0" collapsed="false">
      <c r="A36" s="2" t="n">
        <v>42864.5357407407</v>
      </c>
      <c r="B36" s="1" t="s">
        <v>893</v>
      </c>
      <c r="C36" s="1" t="s">
        <v>513</v>
      </c>
      <c r="D36" s="1" t="n">
        <v>10</v>
      </c>
      <c r="E36" s="1" t="n">
        <v>64</v>
      </c>
      <c r="G36" s="3" t="s">
        <v>894</v>
      </c>
      <c r="H36" s="1" t="s">
        <v>895</v>
      </c>
      <c r="J36" s="1" t="s">
        <v>815</v>
      </c>
      <c r="K36" s="1" t="n">
        <v>2</v>
      </c>
      <c r="L36" s="22" t="e">
        <f aca="false" t="array" ref="L36:L36">IF(COUNTIF(concat(TRIM('Переформатированный ответ'!$B$2:$B$172),TRIM('Переформатированный ответ'!$C$2:$C$172)),concat(TRIM(B36),TRIM(C36))) &gt; 0,"Есть","Нет")</f>
        <v>#NAME?</v>
      </c>
      <c r="M36" s="34" t="s">
        <v>797</v>
      </c>
      <c r="N36" s="34" t="s">
        <v>797</v>
      </c>
      <c r="O36" s="34" t="s">
        <v>797</v>
      </c>
      <c r="P36" s="34" t="s">
        <v>797</v>
      </c>
      <c r="Q36" s="34" t="s">
        <v>797</v>
      </c>
      <c r="R36" s="34" t="s">
        <v>797</v>
      </c>
      <c r="S36" s="34" t="s">
        <v>797</v>
      </c>
      <c r="T36" s="34" t="s">
        <v>797</v>
      </c>
      <c r="U36" s="34" t="s">
        <v>797</v>
      </c>
      <c r="V36" s="34" t="s">
        <v>797</v>
      </c>
      <c r="W36" s="34" t="s">
        <v>797</v>
      </c>
      <c r="X36" s="34" t="s">
        <v>797</v>
      </c>
      <c r="Y36" s="34" t="s">
        <v>797</v>
      </c>
      <c r="Z36" s="34" t="s">
        <v>797</v>
      </c>
      <c r="AA36" s="34" t="s">
        <v>797</v>
      </c>
      <c r="AB36" s="34" t="s">
        <v>797</v>
      </c>
      <c r="AC36" s="34" t="s">
        <v>797</v>
      </c>
      <c r="AD36" s="34" t="s">
        <v>797</v>
      </c>
      <c r="AE36" s="34" t="s">
        <v>797</v>
      </c>
      <c r="AF36" s="34" t="s">
        <v>797</v>
      </c>
    </row>
    <row r="37" customFormat="false" ht="15.75" hidden="false" customHeight="false" outlineLevel="0" collapsed="false">
      <c r="A37" s="2" t="n">
        <v>42864.5495138889</v>
      </c>
      <c r="B37" s="1" t="s">
        <v>91</v>
      </c>
      <c r="C37" s="1" t="s">
        <v>92</v>
      </c>
      <c r="D37" s="1" t="n">
        <v>10</v>
      </c>
      <c r="E37" s="1" t="n">
        <v>34</v>
      </c>
      <c r="G37" s="3" t="s">
        <v>896</v>
      </c>
      <c r="H37" s="1" t="s">
        <v>897</v>
      </c>
      <c r="I37" s="1" t="s">
        <v>784</v>
      </c>
      <c r="J37" s="1" t="s">
        <v>796</v>
      </c>
      <c r="K37" s="1" t="n">
        <v>2</v>
      </c>
      <c r="L37" s="22" t="e">
        <f aca="false" t="array" ref="L37:L37">IF(COUNTIF(concat(TRIM('Переформатированный ответ'!$B$2:$B$172),TRIM('Переформатированный ответ'!$C$2:$C$172)),concat(TRIM(B37),TRIM(C37))) &gt; 0,"Есть","Нет")</f>
        <v>#NAME?</v>
      </c>
      <c r="M37" s="34" t="s">
        <v>773</v>
      </c>
      <c r="N37" s="34" t="s">
        <v>773</v>
      </c>
      <c r="O37" s="34" t="s">
        <v>773</v>
      </c>
      <c r="P37" s="34" t="s">
        <v>773</v>
      </c>
      <c r="Q37" s="34" t="s">
        <v>773</v>
      </c>
      <c r="R37" s="34" t="s">
        <v>773</v>
      </c>
      <c r="S37" s="34" t="s">
        <v>773</v>
      </c>
      <c r="T37" s="34" t="s">
        <v>773</v>
      </c>
      <c r="U37" s="34" t="s">
        <v>773</v>
      </c>
      <c r="V37" s="34" t="s">
        <v>773</v>
      </c>
      <c r="W37" s="34" t="s">
        <v>773</v>
      </c>
      <c r="X37" s="34" t="s">
        <v>773</v>
      </c>
      <c r="Y37" s="34" t="s">
        <v>773</v>
      </c>
      <c r="Z37" s="34" t="s">
        <v>773</v>
      </c>
      <c r="AA37" s="34" t="s">
        <v>773</v>
      </c>
      <c r="AB37" s="34" t="s">
        <v>773</v>
      </c>
      <c r="AC37" s="34" t="s">
        <v>773</v>
      </c>
      <c r="AD37" s="34" t="s">
        <v>773</v>
      </c>
      <c r="AE37" s="34" t="s">
        <v>797</v>
      </c>
      <c r="AF37" s="34" t="s">
        <v>797</v>
      </c>
    </row>
    <row r="38" customFormat="false" ht="15.75" hidden="false" customHeight="false" outlineLevel="0" collapsed="false">
      <c r="A38" s="2" t="n">
        <v>42864.5530092593</v>
      </c>
      <c r="B38" s="1" t="s">
        <v>453</v>
      </c>
      <c r="C38" s="1" t="s">
        <v>454</v>
      </c>
      <c r="D38" s="1" t="n">
        <v>9</v>
      </c>
      <c r="E38" s="1" t="s">
        <v>455</v>
      </c>
      <c r="G38" s="3" t="s">
        <v>898</v>
      </c>
      <c r="H38" s="1" t="s">
        <v>457</v>
      </c>
      <c r="I38" s="1" t="s">
        <v>783</v>
      </c>
      <c r="J38" s="1" t="s">
        <v>784</v>
      </c>
      <c r="K38" s="1" t="n">
        <v>2</v>
      </c>
      <c r="L38" s="22" t="e">
        <f aca="false" t="array" ref="L38:L38">IF(COUNTIF(concat(TRIM('Переформатированный ответ'!$B$2:$B$172),TRIM('Переформатированный ответ'!$C$2:$C$172)),concat(TRIM(B38),TRIM(C38))) &gt; 0,"Есть","Нет")</f>
        <v>#NAME?</v>
      </c>
      <c r="M38" s="34" t="s">
        <v>773</v>
      </c>
      <c r="N38" s="34" t="s">
        <v>773</v>
      </c>
      <c r="O38" s="34" t="s">
        <v>773</v>
      </c>
      <c r="P38" s="34" t="s">
        <v>773</v>
      </c>
      <c r="Q38" s="34" t="s">
        <v>797</v>
      </c>
      <c r="R38" s="34" t="s">
        <v>797</v>
      </c>
      <c r="S38" s="34" t="s">
        <v>773</v>
      </c>
      <c r="T38" s="34" t="s">
        <v>773</v>
      </c>
      <c r="U38" s="34" t="s">
        <v>773</v>
      </c>
      <c r="V38" s="34" t="s">
        <v>773</v>
      </c>
      <c r="W38" s="34" t="s">
        <v>773</v>
      </c>
      <c r="X38" s="34" t="s">
        <v>773</v>
      </c>
      <c r="Y38" s="34" t="s">
        <v>773</v>
      </c>
      <c r="Z38" s="34" t="s">
        <v>773</v>
      </c>
      <c r="AA38" s="34" t="s">
        <v>773</v>
      </c>
      <c r="AB38" s="34" t="s">
        <v>773</v>
      </c>
      <c r="AC38" s="34" t="s">
        <v>773</v>
      </c>
      <c r="AD38" s="34" t="s">
        <v>773</v>
      </c>
      <c r="AE38" s="34" t="s">
        <v>773</v>
      </c>
      <c r="AF38" s="34" t="s">
        <v>773</v>
      </c>
    </row>
    <row r="39" customFormat="false" ht="15.75" hidden="false" customHeight="false" outlineLevel="0" collapsed="false">
      <c r="A39" s="2" t="n">
        <v>42864.5838541667</v>
      </c>
      <c r="B39" s="1" t="s">
        <v>110</v>
      </c>
      <c r="C39" s="1" t="s">
        <v>25</v>
      </c>
      <c r="D39" s="1" t="n">
        <v>9</v>
      </c>
      <c r="E39" s="1" t="s">
        <v>899</v>
      </c>
      <c r="F39" s="1" t="s">
        <v>900</v>
      </c>
      <c r="G39" s="3" t="s">
        <v>901</v>
      </c>
      <c r="H39" s="1" t="s">
        <v>113</v>
      </c>
      <c r="I39" s="1" t="s">
        <v>783</v>
      </c>
      <c r="J39" s="1" t="s">
        <v>791</v>
      </c>
      <c r="K39" s="1" t="n">
        <v>2</v>
      </c>
      <c r="L39" s="22" t="e">
        <f aca="false" t="array" ref="L39:L39">IF(COUNTIF(concat(TRIM('Переформатированный ответ'!$B$2:$B$172),TRIM('Переформатированный ответ'!$C$2:$C$172)),concat(TRIM(B39),TRIM(C39))) &gt; 0,"Есть","Нет")</f>
        <v>#NAME?</v>
      </c>
      <c r="M39" s="34" t="s">
        <v>773</v>
      </c>
      <c r="N39" s="34" t="s">
        <v>773</v>
      </c>
      <c r="O39" s="34" t="s">
        <v>773</v>
      </c>
      <c r="P39" s="34" t="s">
        <v>773</v>
      </c>
      <c r="Q39" s="34" t="s">
        <v>773</v>
      </c>
      <c r="R39" s="34" t="s">
        <v>773</v>
      </c>
      <c r="S39" s="34" t="s">
        <v>773</v>
      </c>
      <c r="T39" s="34" t="s">
        <v>773</v>
      </c>
      <c r="U39" s="34" t="s">
        <v>773</v>
      </c>
      <c r="V39" s="34" t="s">
        <v>773</v>
      </c>
      <c r="W39" s="34"/>
      <c r="X39" s="34"/>
      <c r="Y39" s="34" t="s">
        <v>773</v>
      </c>
      <c r="Z39" s="34" t="s">
        <v>773</v>
      </c>
      <c r="AA39" s="34" t="s">
        <v>773</v>
      </c>
      <c r="AB39" s="34" t="s">
        <v>773</v>
      </c>
      <c r="AC39" s="34" t="s">
        <v>773</v>
      </c>
      <c r="AD39" s="34" t="s">
        <v>773</v>
      </c>
      <c r="AE39" s="34" t="s">
        <v>773</v>
      </c>
      <c r="AF39" s="34" t="s">
        <v>773</v>
      </c>
    </row>
    <row r="40" customFormat="false" ht="15.75" hidden="false" customHeight="false" outlineLevel="0" collapsed="false">
      <c r="A40" s="2" t="n">
        <v>42864.6145023148</v>
      </c>
      <c r="B40" s="1" t="s">
        <v>902</v>
      </c>
      <c r="C40" s="1" t="s">
        <v>903</v>
      </c>
      <c r="D40" s="1" t="n">
        <v>10</v>
      </c>
      <c r="E40" s="1" t="n">
        <v>19</v>
      </c>
      <c r="G40" s="3" t="s">
        <v>904</v>
      </c>
      <c r="H40" s="1" t="s">
        <v>905</v>
      </c>
      <c r="I40" s="1" t="s">
        <v>783</v>
      </c>
      <c r="J40" s="1" t="s">
        <v>796</v>
      </c>
      <c r="K40" s="1" t="n">
        <v>2</v>
      </c>
      <c r="L40" s="22" t="e">
        <f aca="false" t="array" ref="L40:L40">IF(COUNTIF(concat(TRIM('Переформатированный ответ'!$B$2:$B$172),TRIM('Переформатированный ответ'!$C$2:$C$172)),concat(TRIM(B40),TRIM(C40))) &gt; 0,"Есть","Нет")</f>
        <v>#NAME?</v>
      </c>
      <c r="M40" s="34" t="s">
        <v>797</v>
      </c>
      <c r="N40" s="34" t="s">
        <v>797</v>
      </c>
      <c r="O40" s="34" t="s">
        <v>797</v>
      </c>
      <c r="P40" s="34" t="s">
        <v>797</v>
      </c>
      <c r="Q40" s="34" t="s">
        <v>797</v>
      </c>
      <c r="R40" s="34" t="s">
        <v>797</v>
      </c>
      <c r="S40" s="34" t="s">
        <v>773</v>
      </c>
      <c r="T40" s="34" t="s">
        <v>773</v>
      </c>
      <c r="U40" s="34" t="s">
        <v>773</v>
      </c>
      <c r="V40" s="34" t="s">
        <v>773</v>
      </c>
      <c r="W40" s="34" t="s">
        <v>773</v>
      </c>
      <c r="X40" s="34" t="s">
        <v>773</v>
      </c>
      <c r="Y40" s="34" t="s">
        <v>797</v>
      </c>
      <c r="Z40" s="34" t="s">
        <v>797</v>
      </c>
      <c r="AA40" s="34" t="s">
        <v>797</v>
      </c>
      <c r="AB40" s="34" t="s">
        <v>797</v>
      </c>
      <c r="AC40" s="34" t="s">
        <v>797</v>
      </c>
      <c r="AD40" s="34" t="s">
        <v>797</v>
      </c>
      <c r="AE40" s="34" t="s">
        <v>797</v>
      </c>
      <c r="AF40" s="34" t="s">
        <v>797</v>
      </c>
    </row>
    <row r="41" customFormat="false" ht="15.75" hidden="false" customHeight="false" outlineLevel="0" collapsed="false">
      <c r="A41" s="2" t="n">
        <v>42864.7502662037</v>
      </c>
      <c r="B41" s="1" t="s">
        <v>906</v>
      </c>
      <c r="C41" s="1" t="s">
        <v>120</v>
      </c>
      <c r="D41" s="1" t="n">
        <v>10</v>
      </c>
      <c r="E41" s="1" t="n">
        <v>117</v>
      </c>
      <c r="F41" s="1" t="s">
        <v>907</v>
      </c>
      <c r="G41" s="3" t="s">
        <v>908</v>
      </c>
      <c r="H41" s="1" t="s">
        <v>909</v>
      </c>
      <c r="I41" s="1" t="s">
        <v>790</v>
      </c>
      <c r="J41" s="1" t="s">
        <v>791</v>
      </c>
      <c r="K41" s="1" t="n">
        <v>2</v>
      </c>
      <c r="L41" s="22" t="e">
        <f aca="false" t="array" ref="L41:L41">IF(COUNTIF(concat(TRIM('Переформатированный ответ'!$B$2:$B$172),TRIM('Переформатированный ответ'!$C$2:$C$172)),concat(TRIM(B41),TRIM(C41))) &gt; 0,"Есть","Нет")</f>
        <v>#NAME?</v>
      </c>
      <c r="M41" s="34" t="s">
        <v>773</v>
      </c>
      <c r="N41" s="34" t="s">
        <v>773</v>
      </c>
      <c r="O41" s="34" t="s">
        <v>773</v>
      </c>
      <c r="P41" s="34" t="s">
        <v>773</v>
      </c>
      <c r="Q41" s="34" t="s">
        <v>773</v>
      </c>
      <c r="R41" s="34" t="s">
        <v>773</v>
      </c>
      <c r="S41" s="34" t="s">
        <v>773</v>
      </c>
      <c r="T41" s="34" t="s">
        <v>773</v>
      </c>
      <c r="U41" s="34" t="s">
        <v>773</v>
      </c>
      <c r="V41" s="34" t="s">
        <v>773</v>
      </c>
      <c r="W41" s="34" t="s">
        <v>773</v>
      </c>
      <c r="X41" s="34" t="s">
        <v>773</v>
      </c>
      <c r="Y41" s="34" t="s">
        <v>797</v>
      </c>
      <c r="Z41" s="34" t="s">
        <v>797</v>
      </c>
      <c r="AA41" s="34" t="s">
        <v>797</v>
      </c>
      <c r="AB41" s="34" t="s">
        <v>797</v>
      </c>
      <c r="AC41" s="34" t="s">
        <v>797</v>
      </c>
      <c r="AD41" s="34" t="s">
        <v>797</v>
      </c>
      <c r="AE41" s="34" t="s">
        <v>797</v>
      </c>
      <c r="AF41" s="34" t="s">
        <v>797</v>
      </c>
    </row>
    <row r="42" customFormat="false" ht="15.75" hidden="false" customHeight="false" outlineLevel="0" collapsed="false">
      <c r="A42" s="2" t="n">
        <v>42864.7758333333</v>
      </c>
      <c r="B42" s="1" t="s">
        <v>255</v>
      </c>
      <c r="C42" s="1" t="s">
        <v>256</v>
      </c>
      <c r="D42" s="1" t="n">
        <v>8</v>
      </c>
      <c r="E42" s="1" t="s">
        <v>910</v>
      </c>
      <c r="G42" s="3" t="s">
        <v>911</v>
      </c>
      <c r="H42" s="1" t="s">
        <v>912</v>
      </c>
      <c r="I42" s="1" t="s">
        <v>783</v>
      </c>
      <c r="J42" s="1" t="s">
        <v>795</v>
      </c>
      <c r="K42" s="1" t="n">
        <v>2</v>
      </c>
      <c r="L42" s="22" t="e">
        <f aca="false" t="array" ref="L42:L42">IF(COUNTIF(concat(TRIM('Переформатированный ответ'!$B$2:$B$172),TRIM('Переформатированный ответ'!$C$2:$C$172)),concat(TRIM(B42),TRIM(C42))) &gt; 0,"Есть","Нет")</f>
        <v>#NAME?</v>
      </c>
      <c r="M42" s="34" t="s">
        <v>773</v>
      </c>
      <c r="N42" s="34" t="s">
        <v>773</v>
      </c>
      <c r="O42" s="34" t="s">
        <v>773</v>
      </c>
      <c r="P42" s="34" t="s">
        <v>773</v>
      </c>
      <c r="Q42" s="34" t="s">
        <v>797</v>
      </c>
      <c r="R42" s="34" t="s">
        <v>797</v>
      </c>
      <c r="S42" s="34" t="s">
        <v>773</v>
      </c>
      <c r="T42" s="34" t="s">
        <v>773</v>
      </c>
      <c r="U42" s="34" t="s">
        <v>773</v>
      </c>
      <c r="V42" s="34" t="s">
        <v>773</v>
      </c>
      <c r="W42" s="34" t="s">
        <v>773</v>
      </c>
      <c r="X42" s="34" t="s">
        <v>773</v>
      </c>
      <c r="Y42" s="34" t="s">
        <v>773</v>
      </c>
      <c r="Z42" s="34" t="s">
        <v>773</v>
      </c>
      <c r="AA42" s="34" t="s">
        <v>797</v>
      </c>
      <c r="AB42" s="34" t="s">
        <v>797</v>
      </c>
      <c r="AC42" s="34" t="s">
        <v>773</v>
      </c>
      <c r="AD42" s="34" t="s">
        <v>773</v>
      </c>
      <c r="AE42" s="34" t="s">
        <v>797</v>
      </c>
      <c r="AF42" s="34" t="s">
        <v>797</v>
      </c>
    </row>
    <row r="43" customFormat="false" ht="15.75" hidden="false" customHeight="false" outlineLevel="0" collapsed="false">
      <c r="A43" s="2" t="n">
        <v>42864.8525578704</v>
      </c>
      <c r="B43" s="1" t="s">
        <v>913</v>
      </c>
      <c r="C43" s="1" t="s">
        <v>730</v>
      </c>
      <c r="D43" s="1" t="n">
        <v>8</v>
      </c>
      <c r="E43" s="1" t="n">
        <v>115</v>
      </c>
      <c r="G43" s="3" t="s">
        <v>914</v>
      </c>
      <c r="H43" s="1" t="s">
        <v>915</v>
      </c>
      <c r="I43" s="1" t="s">
        <v>783</v>
      </c>
      <c r="J43" s="1" t="s">
        <v>796</v>
      </c>
      <c r="K43" s="1" t="n">
        <v>2</v>
      </c>
      <c r="L43" s="22" t="e">
        <f aca="false" t="array" ref="L43:L43">IF(COUNTIF(concat(TRIM('Переформатированный ответ'!$B$2:$B$172),TRIM('Переформатированный ответ'!$C$2:$C$172)),concat(TRIM(B43),TRIM(C43))) &gt; 0,"Есть","Нет")</f>
        <v>#NAME?</v>
      </c>
      <c r="M43" s="34" t="s">
        <v>773</v>
      </c>
      <c r="N43" s="34" t="s">
        <v>773</v>
      </c>
      <c r="O43" s="34" t="s">
        <v>773</v>
      </c>
      <c r="P43" s="34" t="s">
        <v>773</v>
      </c>
      <c r="Q43" s="34" t="s">
        <v>773</v>
      </c>
      <c r="R43" s="34" t="s">
        <v>773</v>
      </c>
      <c r="S43" s="34" t="s">
        <v>773</v>
      </c>
      <c r="T43" s="34" t="s">
        <v>773</v>
      </c>
      <c r="U43" s="34" t="s">
        <v>773</v>
      </c>
      <c r="V43" s="34" t="s">
        <v>773</v>
      </c>
      <c r="W43" s="34" t="s">
        <v>773</v>
      </c>
      <c r="X43" s="34" t="s">
        <v>773</v>
      </c>
      <c r="Y43" s="34" t="s">
        <v>773</v>
      </c>
      <c r="Z43" s="34" t="s">
        <v>773</v>
      </c>
      <c r="AA43" s="34" t="s">
        <v>773</v>
      </c>
      <c r="AB43" s="34" t="s">
        <v>773</v>
      </c>
      <c r="AC43" s="34" t="s">
        <v>773</v>
      </c>
      <c r="AD43" s="34" t="s">
        <v>773</v>
      </c>
      <c r="AE43" s="34" t="s">
        <v>773</v>
      </c>
      <c r="AF43" s="34" t="s">
        <v>773</v>
      </c>
    </row>
    <row r="44" customFormat="false" ht="15.75" hidden="false" customHeight="false" outlineLevel="0" collapsed="false">
      <c r="A44" s="2" t="n">
        <v>42865.2329050926</v>
      </c>
      <c r="B44" s="1" t="s">
        <v>916</v>
      </c>
      <c r="C44" s="1" t="s">
        <v>917</v>
      </c>
      <c r="D44" s="1" t="n">
        <v>10</v>
      </c>
      <c r="E44" s="1" t="s">
        <v>103</v>
      </c>
      <c r="G44" s="3" t="s">
        <v>918</v>
      </c>
      <c r="H44" s="1" t="s">
        <v>919</v>
      </c>
      <c r="I44" s="1" t="s">
        <v>790</v>
      </c>
      <c r="J44" s="1" t="s">
        <v>801</v>
      </c>
      <c r="K44" s="1" t="n">
        <v>2</v>
      </c>
      <c r="L44" s="22" t="e">
        <f aca="false" t="array" ref="L44:L44">IF(COUNTIF(concat(TRIM('Переформатированный ответ'!$B$2:$B$172),TRIM('Переформатированный ответ'!$C$2:$C$172)),concat(TRIM(B44),TRIM(C44))) &gt; 0,"Есть","Нет")</f>
        <v>#NAME?</v>
      </c>
      <c r="M44" s="34" t="s">
        <v>773</v>
      </c>
      <c r="N44" s="34" t="s">
        <v>773</v>
      </c>
      <c r="O44" s="34" t="s">
        <v>773</v>
      </c>
      <c r="P44" s="34" t="s">
        <v>773</v>
      </c>
      <c r="Q44" s="34" t="s">
        <v>773</v>
      </c>
      <c r="R44" s="34" t="s">
        <v>773</v>
      </c>
      <c r="S44" s="34" t="s">
        <v>773</v>
      </c>
      <c r="T44" s="34" t="s">
        <v>773</v>
      </c>
      <c r="U44" s="34" t="s">
        <v>773</v>
      </c>
      <c r="V44" s="34" t="s">
        <v>773</v>
      </c>
      <c r="W44" s="34" t="s">
        <v>773</v>
      </c>
      <c r="X44" s="34" t="s">
        <v>773</v>
      </c>
      <c r="Y44" s="34" t="s">
        <v>773</v>
      </c>
      <c r="Z44" s="34" t="s">
        <v>773</v>
      </c>
      <c r="AA44" s="34" t="s">
        <v>773</v>
      </c>
      <c r="AB44" s="34" t="s">
        <v>773</v>
      </c>
      <c r="AC44" s="34" t="s">
        <v>773</v>
      </c>
      <c r="AD44" s="34" t="s">
        <v>773</v>
      </c>
      <c r="AE44" s="34" t="s">
        <v>773</v>
      </c>
      <c r="AF44" s="34" t="s">
        <v>797</v>
      </c>
    </row>
    <row r="45" customFormat="false" ht="15.75" hidden="false" customHeight="false" outlineLevel="0" collapsed="false">
      <c r="A45" s="2" t="n">
        <v>42865.4904166667</v>
      </c>
      <c r="B45" s="1" t="s">
        <v>402</v>
      </c>
      <c r="C45" s="1" t="s">
        <v>403</v>
      </c>
      <c r="D45" s="1" t="n">
        <v>7</v>
      </c>
      <c r="E45" s="1" t="s">
        <v>417</v>
      </c>
      <c r="G45" s="1" t="s">
        <v>825</v>
      </c>
      <c r="H45" s="1" t="s">
        <v>920</v>
      </c>
      <c r="I45" s="1" t="s">
        <v>790</v>
      </c>
      <c r="J45" s="1" t="s">
        <v>784</v>
      </c>
      <c r="K45" s="1" t="n">
        <v>2</v>
      </c>
      <c r="L45" s="22" t="e">
        <f aca="false" t="array" ref="L45:L45">IF(COUNTIF(concat(TRIM('Переформатированный ответ'!$B$2:$B$172),TRIM('Переформатированный ответ'!$C$2:$C$172)),concat(TRIM(B45),TRIM(C45))) &gt; 0,"Есть","Нет")</f>
        <v>#NAME?</v>
      </c>
      <c r="M45" s="34" t="s">
        <v>773</v>
      </c>
      <c r="N45" s="34" t="s">
        <v>773</v>
      </c>
      <c r="O45" s="34" t="s">
        <v>773</v>
      </c>
      <c r="P45" s="34" t="s">
        <v>773</v>
      </c>
      <c r="Q45" s="34" t="s">
        <v>773</v>
      </c>
      <c r="R45" s="34" t="s">
        <v>773</v>
      </c>
      <c r="S45" s="34" t="s">
        <v>773</v>
      </c>
      <c r="T45" s="34" t="s">
        <v>773</v>
      </c>
      <c r="U45" s="34" t="s">
        <v>773</v>
      </c>
      <c r="V45" s="34" t="s">
        <v>773</v>
      </c>
      <c r="W45" s="34" t="s">
        <v>773</v>
      </c>
      <c r="X45" s="34" t="s">
        <v>773</v>
      </c>
      <c r="Y45" s="34" t="s">
        <v>773</v>
      </c>
      <c r="Z45" s="34" t="s">
        <v>773</v>
      </c>
      <c r="AA45" s="34" t="s">
        <v>773</v>
      </c>
      <c r="AB45" s="34" t="s">
        <v>773</v>
      </c>
      <c r="AC45" s="34" t="s">
        <v>797</v>
      </c>
      <c r="AD45" s="34" t="s">
        <v>773</v>
      </c>
      <c r="AE45" s="34" t="s">
        <v>773</v>
      </c>
      <c r="AF45" s="34" t="s">
        <v>773</v>
      </c>
    </row>
    <row r="46" customFormat="false" ht="15.75" hidden="false" customHeight="false" outlineLevel="0" collapsed="false">
      <c r="A46" s="2" t="n">
        <v>42866.6323148148</v>
      </c>
      <c r="B46" s="1" t="s">
        <v>363</v>
      </c>
      <c r="C46" s="1" t="s">
        <v>364</v>
      </c>
      <c r="D46" s="1" t="n">
        <v>9</v>
      </c>
      <c r="E46" s="1" t="s">
        <v>103</v>
      </c>
      <c r="G46" s="3" t="s">
        <v>366</v>
      </c>
      <c r="H46" s="1" t="s">
        <v>367</v>
      </c>
      <c r="I46" s="1" t="s">
        <v>806</v>
      </c>
      <c r="J46" s="1" t="s">
        <v>796</v>
      </c>
      <c r="K46" s="1" t="n">
        <v>2</v>
      </c>
      <c r="L46" s="22" t="e">
        <f aca="false" t="array" ref="L46:L46">IF(COUNTIF(concat(TRIM('Переформатированный ответ'!$B$2:$B$172),TRIM('Переформатированный ответ'!$C$2:$C$172)),concat(TRIM(B46),TRIM(C46))) &gt; 0,"Есть","Нет")</f>
        <v>#NAME?</v>
      </c>
      <c r="M46" s="34" t="s">
        <v>773</v>
      </c>
      <c r="N46" s="34" t="s">
        <v>773</v>
      </c>
      <c r="O46" s="34" t="s">
        <v>773</v>
      </c>
      <c r="P46" s="34" t="s">
        <v>773</v>
      </c>
      <c r="Q46" s="34" t="s">
        <v>773</v>
      </c>
      <c r="R46" s="34" t="s">
        <v>773</v>
      </c>
      <c r="S46" s="34" t="s">
        <v>773</v>
      </c>
      <c r="T46" s="34" t="s">
        <v>773</v>
      </c>
      <c r="U46" s="34" t="s">
        <v>773</v>
      </c>
      <c r="V46" s="34" t="s">
        <v>773</v>
      </c>
      <c r="W46" s="34" t="s">
        <v>773</v>
      </c>
      <c r="X46" s="34" t="s">
        <v>773</v>
      </c>
      <c r="Y46" s="34" t="s">
        <v>773</v>
      </c>
      <c r="Z46" s="34" t="s">
        <v>773</v>
      </c>
      <c r="AA46" s="34" t="s">
        <v>773</v>
      </c>
      <c r="AB46" s="34" t="s">
        <v>773</v>
      </c>
      <c r="AC46" s="34" t="s">
        <v>773</v>
      </c>
      <c r="AD46" s="34" t="s">
        <v>773</v>
      </c>
      <c r="AE46" s="34" t="s">
        <v>773</v>
      </c>
      <c r="AF46" s="34" t="s">
        <v>773</v>
      </c>
    </row>
    <row r="47" customFormat="false" ht="15.75" hidden="false" customHeight="false" outlineLevel="0" collapsed="false">
      <c r="A47" s="2" t="n">
        <v>42866.7021527778</v>
      </c>
      <c r="B47" s="1" t="s">
        <v>921</v>
      </c>
      <c r="C47" s="1" t="s">
        <v>403</v>
      </c>
      <c r="D47" s="1" t="n">
        <v>11</v>
      </c>
      <c r="E47" s="1" t="s">
        <v>177</v>
      </c>
      <c r="G47" s="3" t="s">
        <v>922</v>
      </c>
      <c r="H47" s="1" t="s">
        <v>923</v>
      </c>
      <c r="I47" s="1" t="s">
        <v>791</v>
      </c>
      <c r="J47" s="1" t="s">
        <v>815</v>
      </c>
      <c r="K47" s="1" t="n">
        <v>2</v>
      </c>
      <c r="L47" s="22" t="e">
        <f aca="false" t="array" ref="L47:L47">IF(COUNTIF(concat(TRIM('Переформатированный ответ'!$B$2:$B$172),TRIM('Переформатированный ответ'!$C$2:$C$172)),concat(TRIM(B47),TRIM(C47))) &gt; 0,"Есть","Нет")</f>
        <v>#NAME?</v>
      </c>
      <c r="M47" s="34" t="s">
        <v>773</v>
      </c>
      <c r="N47" s="34" t="s">
        <v>773</v>
      </c>
      <c r="O47" s="34" t="s">
        <v>773</v>
      </c>
      <c r="P47" s="34" t="s">
        <v>773</v>
      </c>
      <c r="Q47" s="34" t="s">
        <v>773</v>
      </c>
      <c r="R47" s="34" t="s">
        <v>773</v>
      </c>
      <c r="S47" s="34" t="s">
        <v>773</v>
      </c>
      <c r="T47" s="34" t="s">
        <v>773</v>
      </c>
      <c r="U47" s="34" t="s">
        <v>773</v>
      </c>
      <c r="V47" s="34" t="s">
        <v>773</v>
      </c>
      <c r="W47" s="34" t="s">
        <v>773</v>
      </c>
      <c r="X47" s="34" t="s">
        <v>773</v>
      </c>
      <c r="Y47" s="34" t="s">
        <v>773</v>
      </c>
      <c r="Z47" s="34" t="s">
        <v>773</v>
      </c>
      <c r="AA47" s="34" t="s">
        <v>773</v>
      </c>
      <c r="AB47" s="34" t="s">
        <v>773</v>
      </c>
      <c r="AC47" s="34" t="s">
        <v>773</v>
      </c>
      <c r="AD47" s="34" t="s">
        <v>773</v>
      </c>
      <c r="AE47" s="34" t="s">
        <v>773</v>
      </c>
      <c r="AF47" s="34" t="s">
        <v>773</v>
      </c>
    </row>
    <row r="48" customFormat="false" ht="15.75" hidden="false" customHeight="false" outlineLevel="0" collapsed="false">
      <c r="A48" s="2" t="n">
        <v>42866.7549305556</v>
      </c>
      <c r="B48" s="1" t="s">
        <v>217</v>
      </c>
      <c r="C48" s="1" t="s">
        <v>218</v>
      </c>
      <c r="D48" s="1" t="n">
        <v>9</v>
      </c>
      <c r="E48" s="1" t="s">
        <v>219</v>
      </c>
      <c r="G48" s="3" t="s">
        <v>924</v>
      </c>
      <c r="H48" s="1" t="s">
        <v>925</v>
      </c>
      <c r="I48" s="1" t="s">
        <v>815</v>
      </c>
      <c r="J48" s="1" t="s">
        <v>796</v>
      </c>
      <c r="K48" s="1" t="n">
        <v>2</v>
      </c>
      <c r="L48" s="22" t="e">
        <f aca="false" t="array" ref="L48:L48">IF(COUNTIF(concat(TRIM('Переформатированный ответ'!$B$2:$B$172),TRIM('Переформатированный ответ'!$C$2:$C$172)),concat(TRIM(B48),TRIM(C48))) &gt; 0,"Есть","Нет")</f>
        <v>#NAME?</v>
      </c>
      <c r="M48" s="34" t="s">
        <v>773</v>
      </c>
      <c r="N48" s="34" t="s">
        <v>773</v>
      </c>
      <c r="O48" s="34" t="s">
        <v>773</v>
      </c>
      <c r="P48" s="34" t="s">
        <v>773</v>
      </c>
      <c r="Q48" s="34" t="s">
        <v>773</v>
      </c>
      <c r="R48" s="34" t="s">
        <v>773</v>
      </c>
      <c r="S48" s="34" t="s">
        <v>773</v>
      </c>
      <c r="T48" s="34" t="s">
        <v>773</v>
      </c>
      <c r="U48" s="34" t="s">
        <v>773</v>
      </c>
      <c r="V48" s="34" t="s">
        <v>773</v>
      </c>
      <c r="W48" s="34" t="s">
        <v>773</v>
      </c>
      <c r="X48" s="34" t="s">
        <v>773</v>
      </c>
      <c r="Y48" s="34" t="s">
        <v>773</v>
      </c>
      <c r="Z48" s="34" t="s">
        <v>773</v>
      </c>
      <c r="AA48" s="34" t="s">
        <v>797</v>
      </c>
      <c r="AB48" s="34" t="s">
        <v>797</v>
      </c>
      <c r="AC48" s="34" t="s">
        <v>773</v>
      </c>
      <c r="AD48" s="34" t="s">
        <v>773</v>
      </c>
      <c r="AE48" s="34" t="s">
        <v>797</v>
      </c>
      <c r="AF48" s="34" t="s">
        <v>797</v>
      </c>
    </row>
    <row r="49" customFormat="false" ht="15.75" hidden="false" customHeight="false" outlineLevel="0" collapsed="false">
      <c r="A49" s="2" t="n">
        <v>42866.7996527778</v>
      </c>
      <c r="B49" s="1" t="s">
        <v>926</v>
      </c>
      <c r="C49" s="1" t="s">
        <v>350</v>
      </c>
      <c r="D49" s="1" t="n">
        <v>10</v>
      </c>
      <c r="E49" s="1" t="s">
        <v>927</v>
      </c>
      <c r="G49" s="3" t="s">
        <v>928</v>
      </c>
      <c r="H49" s="1" t="s">
        <v>929</v>
      </c>
      <c r="I49" s="1" t="s">
        <v>815</v>
      </c>
      <c r="J49" s="1" t="s">
        <v>784</v>
      </c>
      <c r="K49" s="1" t="n">
        <v>2</v>
      </c>
      <c r="L49" s="22" t="e">
        <f aca="false" t="array" ref="L49:L49">IF(COUNTIF(concat(TRIM('Переформатированный ответ'!$B$2:$B$172),TRIM('Переформатированный ответ'!$C$2:$C$172)),concat(TRIM(B49),TRIM(C49))) &gt; 0,"Есть","Нет")</f>
        <v>#NAME?</v>
      </c>
      <c r="M49" s="34" t="s">
        <v>797</v>
      </c>
      <c r="N49" s="34" t="s">
        <v>797</v>
      </c>
      <c r="O49" s="34" t="s">
        <v>797</v>
      </c>
      <c r="P49" s="34" t="s">
        <v>797</v>
      </c>
      <c r="Q49" s="34" t="s">
        <v>797</v>
      </c>
      <c r="R49" s="34" t="s">
        <v>797</v>
      </c>
      <c r="S49" s="34" t="s">
        <v>797</v>
      </c>
      <c r="T49" s="34" t="s">
        <v>797</v>
      </c>
      <c r="U49" s="34" t="s">
        <v>797</v>
      </c>
      <c r="V49" s="34" t="s">
        <v>797</v>
      </c>
      <c r="W49" s="34" t="s">
        <v>797</v>
      </c>
      <c r="X49" s="34" t="s">
        <v>797</v>
      </c>
      <c r="Y49" s="34" t="s">
        <v>797</v>
      </c>
      <c r="Z49" s="34" t="s">
        <v>797</v>
      </c>
      <c r="AA49" s="34" t="s">
        <v>797</v>
      </c>
      <c r="AB49" s="34" t="s">
        <v>797</v>
      </c>
      <c r="AC49" s="34" t="s">
        <v>797</v>
      </c>
      <c r="AD49" s="34" t="s">
        <v>797</v>
      </c>
      <c r="AE49" s="34"/>
      <c r="AF49" s="34"/>
    </row>
    <row r="50" customFormat="false" ht="15.75" hidden="false" customHeight="false" outlineLevel="0" collapsed="false">
      <c r="A50" s="2" t="n">
        <v>42866.8672569444</v>
      </c>
      <c r="B50" s="1" t="s">
        <v>930</v>
      </c>
      <c r="C50" s="1" t="s">
        <v>931</v>
      </c>
      <c r="D50" s="1" t="n">
        <v>10</v>
      </c>
      <c r="E50" s="1" t="s">
        <v>319</v>
      </c>
      <c r="F50" s="1" t="s">
        <v>932</v>
      </c>
      <c r="G50" s="3" t="s">
        <v>933</v>
      </c>
      <c r="H50" s="1" t="s">
        <v>934</v>
      </c>
      <c r="I50" s="1" t="s">
        <v>790</v>
      </c>
      <c r="J50" s="1" t="s">
        <v>801</v>
      </c>
      <c r="K50" s="1" t="n">
        <v>2</v>
      </c>
      <c r="L50" s="22" t="e">
        <f aca="false" t="array" ref="L50:L50">IF(COUNTIF(concat(TRIM('Переформатированный ответ'!$B$2:$B$172),TRIM('Переформатированный ответ'!$C$2:$C$172)),concat(TRIM(B50),TRIM(C50))) &gt; 0,"Есть","Нет")</f>
        <v>#NAME?</v>
      </c>
      <c r="M50" s="34" t="s">
        <v>773</v>
      </c>
      <c r="N50" s="34" t="s">
        <v>773</v>
      </c>
      <c r="O50" s="34" t="s">
        <v>773</v>
      </c>
      <c r="P50" s="34" t="s">
        <v>773</v>
      </c>
      <c r="Q50" s="34" t="s">
        <v>773</v>
      </c>
      <c r="R50" s="34" t="s">
        <v>773</v>
      </c>
      <c r="S50" s="34" t="s">
        <v>773</v>
      </c>
      <c r="T50" s="34" t="s">
        <v>773</v>
      </c>
      <c r="U50" s="34" t="s">
        <v>773</v>
      </c>
      <c r="V50" s="34" t="s">
        <v>773</v>
      </c>
      <c r="W50" s="34" t="s">
        <v>773</v>
      </c>
      <c r="X50" s="34" t="s">
        <v>773</v>
      </c>
      <c r="Y50" s="34" t="s">
        <v>773</v>
      </c>
      <c r="Z50" s="34" t="s">
        <v>773</v>
      </c>
      <c r="AA50" s="34" t="s">
        <v>773</v>
      </c>
      <c r="AB50" s="34" t="s">
        <v>773</v>
      </c>
      <c r="AC50" s="34" t="s">
        <v>773</v>
      </c>
      <c r="AD50" s="34" t="s">
        <v>773</v>
      </c>
      <c r="AE50" s="34" t="s">
        <v>797</v>
      </c>
      <c r="AF50" s="34" t="s">
        <v>797</v>
      </c>
    </row>
    <row r="51" customFormat="false" ht="15.75" hidden="false" customHeight="false" outlineLevel="0" collapsed="false">
      <c r="A51" s="2" t="n">
        <v>42867.3519444445</v>
      </c>
      <c r="B51" s="1" t="s">
        <v>935</v>
      </c>
      <c r="C51" s="1" t="s">
        <v>195</v>
      </c>
      <c r="D51" s="1" t="n">
        <v>11</v>
      </c>
      <c r="E51" s="1" t="s">
        <v>103</v>
      </c>
      <c r="G51" s="3" t="s">
        <v>936</v>
      </c>
      <c r="H51" s="1" t="s">
        <v>937</v>
      </c>
      <c r="I51" s="1" t="s">
        <v>790</v>
      </c>
      <c r="J51" s="1" t="s">
        <v>791</v>
      </c>
      <c r="K51" s="1" t="n">
        <v>2</v>
      </c>
      <c r="L51" s="22" t="e">
        <f aca="false" t="array" ref="L51:L51">IF(COUNTIF(concat(TRIM('Переформатированный ответ'!$B$2:$B$172),TRIM('Переформатированный ответ'!$C$2:$C$172)),concat(TRIM(B51),TRIM(C51))) &gt; 0,"Есть","Нет")</f>
        <v>#NAME?</v>
      </c>
      <c r="M51" s="34" t="s">
        <v>773</v>
      </c>
      <c r="N51" s="34" t="s">
        <v>773</v>
      </c>
      <c r="O51" s="34" t="s">
        <v>773</v>
      </c>
      <c r="P51" s="34" t="s">
        <v>773</v>
      </c>
      <c r="Q51" s="34" t="s">
        <v>797</v>
      </c>
      <c r="R51" s="34" t="s">
        <v>797</v>
      </c>
      <c r="S51" s="34" t="s">
        <v>797</v>
      </c>
      <c r="T51" s="34" t="s">
        <v>797</v>
      </c>
      <c r="U51" s="34" t="s">
        <v>797</v>
      </c>
      <c r="V51" s="34" t="s">
        <v>797</v>
      </c>
      <c r="W51" s="34" t="s">
        <v>773</v>
      </c>
      <c r="X51" s="34" t="s">
        <v>773</v>
      </c>
      <c r="Y51" s="34" t="s">
        <v>773</v>
      </c>
      <c r="Z51" s="34" t="s">
        <v>773</v>
      </c>
      <c r="AA51" s="34" t="s">
        <v>773</v>
      </c>
      <c r="AB51" s="34" t="s">
        <v>773</v>
      </c>
      <c r="AC51" s="34" t="s">
        <v>773</v>
      </c>
      <c r="AD51" s="34" t="s">
        <v>773</v>
      </c>
      <c r="AE51" s="34" t="s">
        <v>773</v>
      </c>
      <c r="AF51" s="34" t="s">
        <v>773</v>
      </c>
    </row>
    <row r="52" customFormat="false" ht="15.75" hidden="false" customHeight="false" outlineLevel="0" collapsed="false">
      <c r="A52" s="2" t="n">
        <v>42868.7708912037</v>
      </c>
      <c r="B52" s="1" t="s">
        <v>671</v>
      </c>
      <c r="C52" s="1" t="s">
        <v>672</v>
      </c>
      <c r="D52" s="1" t="n">
        <v>10</v>
      </c>
      <c r="E52" s="1" t="s">
        <v>103</v>
      </c>
      <c r="F52" s="1" t="s">
        <v>938</v>
      </c>
      <c r="G52" s="3" t="s">
        <v>673</v>
      </c>
      <c r="H52" s="1" t="s">
        <v>674</v>
      </c>
      <c r="I52" s="1" t="s">
        <v>806</v>
      </c>
      <c r="J52" s="1" t="s">
        <v>796</v>
      </c>
      <c r="K52" s="1" t="n">
        <v>2</v>
      </c>
      <c r="L52" s="22" t="e">
        <f aca="false" t="array" ref="L52:L52">IF(COUNTIF(concat(TRIM('Переформатированный ответ'!$B$2:$B$172),TRIM('Переформатированный ответ'!$C$2:$C$172)),concat(TRIM(B52),TRIM(C52))) &gt; 0,"Есть","Нет")</f>
        <v>#NAME?</v>
      </c>
      <c r="M52" s="34" t="s">
        <v>773</v>
      </c>
      <c r="N52" s="34" t="s">
        <v>773</v>
      </c>
      <c r="O52" s="34" t="s">
        <v>773</v>
      </c>
      <c r="P52" s="34" t="s">
        <v>773</v>
      </c>
      <c r="Q52" s="34" t="s">
        <v>773</v>
      </c>
      <c r="R52" s="34" t="s">
        <v>773</v>
      </c>
      <c r="S52" s="34" t="s">
        <v>773</v>
      </c>
      <c r="T52" s="34" t="s">
        <v>773</v>
      </c>
      <c r="U52" s="34" t="s">
        <v>773</v>
      </c>
      <c r="V52" s="34" t="s">
        <v>773</v>
      </c>
      <c r="W52" s="34" t="s">
        <v>773</v>
      </c>
      <c r="X52" s="34" t="s">
        <v>773</v>
      </c>
      <c r="Y52" s="34" t="s">
        <v>773</v>
      </c>
      <c r="Z52" s="34" t="s">
        <v>773</v>
      </c>
      <c r="AA52" s="34" t="s">
        <v>773</v>
      </c>
      <c r="AB52" s="34" t="s">
        <v>773</v>
      </c>
      <c r="AC52" s="34" t="s">
        <v>773</v>
      </c>
      <c r="AD52" s="34" t="s">
        <v>773</v>
      </c>
      <c r="AE52" s="34" t="s">
        <v>773</v>
      </c>
      <c r="AF52" s="34" t="s">
        <v>773</v>
      </c>
    </row>
    <row r="53" customFormat="false" ht="15.75" hidden="false" customHeight="false" outlineLevel="0" collapsed="false">
      <c r="A53" s="2" t="n">
        <v>42869.3381018519</v>
      </c>
      <c r="B53" s="1" t="s">
        <v>939</v>
      </c>
      <c r="C53" s="1" t="s">
        <v>350</v>
      </c>
      <c r="D53" s="1" t="n">
        <v>10</v>
      </c>
      <c r="E53" s="1" t="s">
        <v>170</v>
      </c>
      <c r="G53" s="3" t="s">
        <v>940</v>
      </c>
      <c r="H53" s="1" t="s">
        <v>941</v>
      </c>
      <c r="I53" s="1" t="s">
        <v>790</v>
      </c>
      <c r="J53" s="1" t="s">
        <v>791</v>
      </c>
      <c r="K53" s="1" t="n">
        <v>2</v>
      </c>
      <c r="L53" s="22" t="e">
        <f aca="false" t="array" ref="L53:L53">IF(COUNTIF(concat(TRIM('Переформатированный ответ'!$B$2:$B$172),TRIM('Переформатированный ответ'!$C$2:$C$172)),concat(TRIM(B53),TRIM(C53))) &gt; 0,"Есть","Нет")</f>
        <v>#NAME?</v>
      </c>
      <c r="M53" s="34" t="s">
        <v>773</v>
      </c>
      <c r="N53" s="34" t="s">
        <v>773</v>
      </c>
      <c r="O53" s="34" t="s">
        <v>773</v>
      </c>
      <c r="P53" s="34" t="s">
        <v>773</v>
      </c>
      <c r="Q53" s="34" t="s">
        <v>773</v>
      </c>
      <c r="R53" s="34" t="s">
        <v>773</v>
      </c>
      <c r="S53" s="34" t="s">
        <v>773</v>
      </c>
      <c r="T53" s="34" t="s">
        <v>773</v>
      </c>
      <c r="U53" s="34" t="s">
        <v>773</v>
      </c>
      <c r="V53" s="34" t="s">
        <v>773</v>
      </c>
      <c r="W53" s="34" t="s">
        <v>773</v>
      </c>
      <c r="X53" s="34" t="s">
        <v>773</v>
      </c>
      <c r="Y53" s="34" t="s">
        <v>797</v>
      </c>
      <c r="Z53" s="34" t="s">
        <v>797</v>
      </c>
      <c r="AA53" s="34" t="s">
        <v>773</v>
      </c>
      <c r="AB53" s="34" t="s">
        <v>773</v>
      </c>
      <c r="AC53" s="34" t="s">
        <v>773</v>
      </c>
      <c r="AD53" s="34" t="s">
        <v>773</v>
      </c>
      <c r="AE53" s="34" t="s">
        <v>797</v>
      </c>
      <c r="AF53" s="34" t="s">
        <v>797</v>
      </c>
    </row>
    <row r="54" customFormat="false" ht="15.75" hidden="false" customHeight="false" outlineLevel="0" collapsed="false">
      <c r="A54" s="2" t="n">
        <v>42870.7747916667</v>
      </c>
      <c r="B54" s="1" t="s">
        <v>768</v>
      </c>
      <c r="C54" s="1" t="s">
        <v>383</v>
      </c>
      <c r="D54" s="1" t="n">
        <v>9</v>
      </c>
      <c r="E54" s="1" t="s">
        <v>328</v>
      </c>
      <c r="G54" s="3" t="s">
        <v>20</v>
      </c>
      <c r="H54" s="1" t="s">
        <v>21</v>
      </c>
      <c r="I54" s="1" t="s">
        <v>827</v>
      </c>
      <c r="J54" s="1" t="s">
        <v>791</v>
      </c>
      <c r="K54" s="1" t="n">
        <v>2</v>
      </c>
      <c r="L54" s="22" t="e">
        <f aca="false" t="array" ref="L54:L54">IF(COUNTIF(concat(TRIM('Переформатированный ответ'!$B$2:$B$172),TRIM('Переформатированный ответ'!$C$2:$C$172)),concat(TRIM(B54),TRIM(C54))) &gt; 0,"Есть","Нет")</f>
        <v>#NAME?</v>
      </c>
      <c r="M54" s="34" t="s">
        <v>797</v>
      </c>
      <c r="N54" s="34" t="s">
        <v>797</v>
      </c>
      <c r="O54" s="34" t="s">
        <v>773</v>
      </c>
      <c r="P54" s="34" t="s">
        <v>773</v>
      </c>
      <c r="Q54" s="34" t="s">
        <v>797</v>
      </c>
      <c r="R54" s="34" t="s">
        <v>797</v>
      </c>
      <c r="S54" s="34" t="s">
        <v>797</v>
      </c>
      <c r="T54" s="34" t="s">
        <v>797</v>
      </c>
      <c r="U54" s="34" t="s">
        <v>797</v>
      </c>
      <c r="V54" s="34" t="s">
        <v>797</v>
      </c>
      <c r="W54" s="34"/>
      <c r="X54" s="34"/>
      <c r="Y54" s="34" t="s">
        <v>773</v>
      </c>
      <c r="Z54" s="34" t="s">
        <v>773</v>
      </c>
      <c r="AA54" s="34" t="s">
        <v>773</v>
      </c>
      <c r="AB54" s="34" t="s">
        <v>773</v>
      </c>
      <c r="AC54" s="34" t="s">
        <v>773</v>
      </c>
      <c r="AD54" s="34" t="s">
        <v>773</v>
      </c>
      <c r="AE54" s="34" t="s">
        <v>773</v>
      </c>
      <c r="AF54" s="34" t="s">
        <v>773</v>
      </c>
    </row>
    <row r="55" customFormat="false" ht="15.75" hidden="false" customHeight="false" outlineLevel="0" collapsed="false">
      <c r="A55" s="2" t="n">
        <v>42871.215</v>
      </c>
      <c r="B55" s="1" t="s">
        <v>942</v>
      </c>
      <c r="C55" s="1" t="s">
        <v>529</v>
      </c>
      <c r="D55" s="1" t="n">
        <v>9</v>
      </c>
      <c r="E55" s="1" t="n">
        <v>117</v>
      </c>
      <c r="G55" s="3" t="s">
        <v>943</v>
      </c>
      <c r="H55" s="1" t="s">
        <v>944</v>
      </c>
      <c r="I55" s="1" t="s">
        <v>783</v>
      </c>
      <c r="J55" s="1" t="s">
        <v>806</v>
      </c>
      <c r="K55" s="1" t="n">
        <v>2</v>
      </c>
      <c r="L55" s="22" t="e">
        <f aca="false" t="array" ref="L55:L55">IF(COUNTIF(concat(TRIM('Переформатированный ответ'!$B$2:$B$172),TRIM('Переформатированный ответ'!$C$2:$C$172)),concat(TRIM(B55),TRIM(C55))) &gt; 0,"Есть","Нет")</f>
        <v>#NAME?</v>
      </c>
      <c r="M55" s="34" t="s">
        <v>773</v>
      </c>
      <c r="N55" s="34" t="s">
        <v>773</v>
      </c>
      <c r="O55" s="34" t="s">
        <v>773</v>
      </c>
      <c r="P55" s="34" t="s">
        <v>773</v>
      </c>
      <c r="Q55" s="34" t="s">
        <v>773</v>
      </c>
      <c r="R55" s="34" t="s">
        <v>773</v>
      </c>
      <c r="S55" s="34" t="s">
        <v>773</v>
      </c>
      <c r="T55" s="34" t="s">
        <v>773</v>
      </c>
      <c r="U55" s="34" t="s">
        <v>773</v>
      </c>
      <c r="V55" s="34" t="s">
        <v>773</v>
      </c>
      <c r="W55" s="34" t="s">
        <v>797</v>
      </c>
      <c r="X55" s="34" t="s">
        <v>797</v>
      </c>
      <c r="Y55" s="34" t="s">
        <v>797</v>
      </c>
      <c r="Z55" s="34" t="s">
        <v>797</v>
      </c>
      <c r="AA55" s="34" t="s">
        <v>797</v>
      </c>
      <c r="AB55" s="34" t="s">
        <v>797</v>
      </c>
      <c r="AC55" s="34" t="s">
        <v>797</v>
      </c>
      <c r="AD55" s="34" t="s">
        <v>797</v>
      </c>
      <c r="AE55" s="34" t="s">
        <v>797</v>
      </c>
      <c r="AF55" s="34" t="s">
        <v>797</v>
      </c>
    </row>
    <row r="56" customFormat="false" ht="15.75" hidden="false" customHeight="false" outlineLevel="0" collapsed="false">
      <c r="A56" s="2" t="n">
        <v>42871.7113194444</v>
      </c>
      <c r="B56" s="1" t="s">
        <v>504</v>
      </c>
      <c r="C56" s="1" t="s">
        <v>150</v>
      </c>
      <c r="D56" s="1" t="n">
        <v>8</v>
      </c>
      <c r="E56" s="1" t="s">
        <v>37</v>
      </c>
      <c r="G56" s="3" t="s">
        <v>945</v>
      </c>
      <c r="H56" s="1" t="s">
        <v>507</v>
      </c>
      <c r="I56" s="1" t="s">
        <v>783</v>
      </c>
      <c r="J56" s="1" t="s">
        <v>795</v>
      </c>
      <c r="K56" s="1" t="n">
        <v>2</v>
      </c>
      <c r="L56" s="22" t="e">
        <f aca="false" t="array" ref="L56:L56">IF(COUNTIF(concat(TRIM('Переформатированный ответ'!$B$2:$B$172),TRIM('Переформатированный ответ'!$C$2:$C$172)),concat(TRIM(B56),TRIM(C56))) &gt; 0,"Есть","Нет")</f>
        <v>#NAME?</v>
      </c>
      <c r="M56" s="34" t="s">
        <v>773</v>
      </c>
      <c r="N56" s="34" t="s">
        <v>773</v>
      </c>
      <c r="O56" s="34" t="s">
        <v>773</v>
      </c>
      <c r="P56" s="34" t="s">
        <v>773</v>
      </c>
      <c r="Q56" s="34" t="s">
        <v>797</v>
      </c>
      <c r="R56" s="34" t="s">
        <v>797</v>
      </c>
      <c r="S56" s="34" t="s">
        <v>773</v>
      </c>
      <c r="T56" s="34" t="s">
        <v>773</v>
      </c>
      <c r="U56" s="34" t="s">
        <v>773</v>
      </c>
      <c r="V56" s="34" t="s">
        <v>773</v>
      </c>
      <c r="W56" s="34" t="s">
        <v>773</v>
      </c>
      <c r="X56" s="34" t="s">
        <v>773</v>
      </c>
      <c r="Y56" s="34" t="s">
        <v>773</v>
      </c>
      <c r="Z56" s="34" t="s">
        <v>773</v>
      </c>
      <c r="AA56" s="34" t="s">
        <v>773</v>
      </c>
      <c r="AB56" s="34" t="s">
        <v>773</v>
      </c>
      <c r="AC56" s="34" t="s">
        <v>773</v>
      </c>
      <c r="AD56" s="34" t="s">
        <v>773</v>
      </c>
      <c r="AE56" s="34" t="s">
        <v>797</v>
      </c>
      <c r="AF56" s="34" t="s">
        <v>797</v>
      </c>
    </row>
    <row r="57" customFormat="false" ht="15.75" hidden="false" customHeight="false" outlineLevel="0" collapsed="false">
      <c r="A57" s="2" t="n">
        <v>42871.7783912037</v>
      </c>
      <c r="B57" s="1" t="s">
        <v>946</v>
      </c>
      <c r="C57" s="1" t="s">
        <v>533</v>
      </c>
      <c r="D57" s="1" t="n">
        <v>8</v>
      </c>
      <c r="E57" s="1" t="s">
        <v>947</v>
      </c>
      <c r="F57" s="1" t="s">
        <v>948</v>
      </c>
      <c r="G57" s="3" t="s">
        <v>949</v>
      </c>
      <c r="H57" s="1" t="s">
        <v>950</v>
      </c>
      <c r="I57" s="1" t="s">
        <v>815</v>
      </c>
      <c r="K57" s="1" t="n">
        <v>2</v>
      </c>
      <c r="L57" s="22" t="e">
        <f aca="false" t="array" ref="L57:L57">IF(COUNTIF(concat(TRIM('Переформатированный ответ'!$B$2:$B$172),TRIM('Переформатированный ответ'!$C$2:$C$172)),concat(TRIM(B57),TRIM(C57))) &gt; 0,"Есть","Нет")</f>
        <v>#NAME?</v>
      </c>
      <c r="M57" s="34" t="s">
        <v>773</v>
      </c>
      <c r="N57" s="34" t="s">
        <v>773</v>
      </c>
      <c r="O57" s="34" t="s">
        <v>773</v>
      </c>
      <c r="P57" s="34" t="s">
        <v>773</v>
      </c>
      <c r="Q57" s="34" t="s">
        <v>773</v>
      </c>
      <c r="R57" s="34" t="s">
        <v>773</v>
      </c>
      <c r="S57" s="34" t="s">
        <v>773</v>
      </c>
      <c r="T57" s="34" t="s">
        <v>773</v>
      </c>
      <c r="U57" s="34" t="s">
        <v>773</v>
      </c>
      <c r="V57" s="34" t="s">
        <v>773</v>
      </c>
      <c r="W57" s="34"/>
      <c r="X57" s="34"/>
      <c r="Y57" s="34"/>
      <c r="Z57" s="34"/>
      <c r="AA57" s="34"/>
      <c r="AB57" s="34"/>
      <c r="AC57" s="34"/>
      <c r="AD57" s="34"/>
      <c r="AE57" s="34"/>
      <c r="AF57" s="34"/>
    </row>
    <row r="58" customFormat="false" ht="15.75" hidden="false" customHeight="false" outlineLevel="0" collapsed="false">
      <c r="A58" s="2" t="n">
        <v>42872.5947685185</v>
      </c>
      <c r="B58" s="1" t="s">
        <v>52</v>
      </c>
      <c r="C58" s="1" t="s">
        <v>71</v>
      </c>
      <c r="D58" s="1" t="n">
        <v>7</v>
      </c>
      <c r="E58" s="1" t="n">
        <v>117</v>
      </c>
      <c r="G58" s="3" t="s">
        <v>951</v>
      </c>
      <c r="H58" s="1" t="s">
        <v>74</v>
      </c>
      <c r="I58" s="1" t="s">
        <v>827</v>
      </c>
      <c r="J58" s="1" t="s">
        <v>791</v>
      </c>
      <c r="K58" s="1" t="n">
        <v>2</v>
      </c>
      <c r="L58" s="22" t="e">
        <f aca="false" t="array" ref="L58:L58">IF(COUNTIF(concat(TRIM('Переформатированный ответ'!$B$2:$B$172),TRIM('Переформатированный ответ'!$C$2:$C$172)),concat(TRIM(B58),TRIM(C58))) &gt; 0,"Есть","Нет")</f>
        <v>#NAME?</v>
      </c>
      <c r="M58" s="34" t="s">
        <v>773</v>
      </c>
      <c r="N58" s="34" t="s">
        <v>797</v>
      </c>
      <c r="O58" s="34" t="s">
        <v>797</v>
      </c>
      <c r="P58" s="34" t="s">
        <v>797</v>
      </c>
      <c r="Q58" s="34" t="s">
        <v>797</v>
      </c>
      <c r="R58" s="34" t="s">
        <v>797</v>
      </c>
      <c r="S58" s="34" t="s">
        <v>797</v>
      </c>
      <c r="T58" s="34" t="s">
        <v>797</v>
      </c>
      <c r="U58" s="34" t="s">
        <v>797</v>
      </c>
      <c r="V58" s="34" t="s">
        <v>797</v>
      </c>
      <c r="W58" s="34" t="s">
        <v>773</v>
      </c>
      <c r="X58" s="34" t="s">
        <v>773</v>
      </c>
      <c r="Y58" s="34" t="s">
        <v>773</v>
      </c>
      <c r="Z58" s="34" t="s">
        <v>773</v>
      </c>
      <c r="AA58" s="34" t="s">
        <v>797</v>
      </c>
      <c r="AB58" s="34" t="s">
        <v>773</v>
      </c>
      <c r="AC58" s="34" t="s">
        <v>773</v>
      </c>
      <c r="AD58" s="34" t="s">
        <v>773</v>
      </c>
      <c r="AE58" s="34" t="s">
        <v>773</v>
      </c>
      <c r="AF58" s="34" t="s">
        <v>773</v>
      </c>
    </row>
    <row r="59" customFormat="false" ht="15.75" hidden="false" customHeight="false" outlineLevel="0" collapsed="false">
      <c r="A59" s="2" t="n">
        <v>42872.5950231481</v>
      </c>
      <c r="B59" s="1" t="s">
        <v>52</v>
      </c>
      <c r="C59" s="1" t="s">
        <v>53</v>
      </c>
      <c r="D59" s="1" t="n">
        <v>7</v>
      </c>
      <c r="E59" s="1" t="n">
        <v>117</v>
      </c>
      <c r="G59" s="3" t="s">
        <v>952</v>
      </c>
      <c r="H59" s="1" t="s">
        <v>55</v>
      </c>
      <c r="I59" s="1" t="s">
        <v>784</v>
      </c>
      <c r="J59" s="1" t="s">
        <v>791</v>
      </c>
      <c r="K59" s="1" t="n">
        <v>2</v>
      </c>
      <c r="L59" s="22" t="e">
        <f aca="false" t="array" ref="L59:L59">IF(COUNTIF(concat(TRIM('Переформатированный ответ'!$B$2:$B$172),TRIM('Переформатированный ответ'!$C$2:$C$172)),concat(TRIM(B59),TRIM(C59))) &gt; 0,"Есть","Нет")</f>
        <v>#NAME?</v>
      </c>
      <c r="M59" s="34" t="s">
        <v>773</v>
      </c>
      <c r="N59" s="34" t="s">
        <v>773</v>
      </c>
      <c r="O59" s="34" t="s">
        <v>773</v>
      </c>
      <c r="P59" s="34" t="s">
        <v>773</v>
      </c>
      <c r="Q59" s="34" t="s">
        <v>773</v>
      </c>
      <c r="R59" s="34" t="s">
        <v>773</v>
      </c>
      <c r="S59" s="34" t="s">
        <v>773</v>
      </c>
      <c r="T59" s="34" t="s">
        <v>773</v>
      </c>
      <c r="U59" s="34" t="s">
        <v>773</v>
      </c>
      <c r="V59" s="34" t="s">
        <v>773</v>
      </c>
      <c r="W59" s="34" t="s">
        <v>773</v>
      </c>
      <c r="X59" s="34" t="s">
        <v>773</v>
      </c>
      <c r="Y59" s="34" t="s">
        <v>773</v>
      </c>
      <c r="Z59" s="34" t="s">
        <v>773</v>
      </c>
      <c r="AA59" s="34" t="s">
        <v>797</v>
      </c>
      <c r="AB59" s="34" t="s">
        <v>773</v>
      </c>
      <c r="AC59" s="34" t="s">
        <v>773</v>
      </c>
      <c r="AD59" s="34" t="s">
        <v>773</v>
      </c>
      <c r="AE59" s="34" t="s">
        <v>797</v>
      </c>
      <c r="AF59" s="34" t="s">
        <v>797</v>
      </c>
    </row>
    <row r="60" customFormat="false" ht="15.75" hidden="false" customHeight="false" outlineLevel="0" collapsed="false">
      <c r="A60" s="2" t="n">
        <v>42872.6753935185</v>
      </c>
      <c r="B60" s="1" t="s">
        <v>953</v>
      </c>
      <c r="C60" s="1" t="s">
        <v>954</v>
      </c>
      <c r="D60" s="1" t="n">
        <v>10</v>
      </c>
      <c r="E60" s="1" t="s">
        <v>165</v>
      </c>
      <c r="G60" s="3" t="s">
        <v>955</v>
      </c>
      <c r="H60" s="1" t="s">
        <v>956</v>
      </c>
      <c r="I60" s="1" t="s">
        <v>791</v>
      </c>
      <c r="J60" s="1" t="s">
        <v>795</v>
      </c>
      <c r="K60" s="1" t="n">
        <v>2</v>
      </c>
      <c r="L60" s="22" t="e">
        <f aca="false" t="array" ref="L60:L60">IF(COUNTIF(concat(TRIM('Переформатированный ответ'!$B$2:$B$172),TRIM('Переформатированный ответ'!$C$2:$C$172)),concat(TRIM(B60),TRIM(C60))) &gt; 0,"Есть","Нет")</f>
        <v>#NAME?</v>
      </c>
      <c r="M60" s="34" t="s">
        <v>773</v>
      </c>
      <c r="N60" s="34" t="s">
        <v>773</v>
      </c>
      <c r="O60" s="34" t="s">
        <v>773</v>
      </c>
      <c r="P60" s="34" t="s">
        <v>773</v>
      </c>
      <c r="Q60" s="34" t="s">
        <v>773</v>
      </c>
      <c r="R60" s="34" t="s">
        <v>773</v>
      </c>
      <c r="S60" s="34" t="s">
        <v>773</v>
      </c>
      <c r="T60" s="34" t="s">
        <v>773</v>
      </c>
      <c r="U60" s="34" t="s">
        <v>797</v>
      </c>
      <c r="V60" s="34" t="s">
        <v>797</v>
      </c>
      <c r="W60" s="34" t="s">
        <v>773</v>
      </c>
      <c r="X60" s="34" t="s">
        <v>773</v>
      </c>
      <c r="Y60" s="34" t="s">
        <v>773</v>
      </c>
      <c r="Z60" s="34" t="s">
        <v>773</v>
      </c>
      <c r="AA60" s="34" t="s">
        <v>773</v>
      </c>
      <c r="AB60" s="34" t="s">
        <v>773</v>
      </c>
      <c r="AC60" s="34" t="s">
        <v>773</v>
      </c>
      <c r="AD60" s="34" t="s">
        <v>773</v>
      </c>
      <c r="AE60" s="34" t="s">
        <v>773</v>
      </c>
      <c r="AF60" s="34" t="s">
        <v>773</v>
      </c>
    </row>
    <row r="61" customFormat="false" ht="15.75" hidden="false" customHeight="false" outlineLevel="0" collapsed="false">
      <c r="A61" s="2" t="n">
        <v>42872.679212963</v>
      </c>
      <c r="B61" s="1" t="s">
        <v>715</v>
      </c>
      <c r="C61" s="1" t="s">
        <v>593</v>
      </c>
      <c r="D61" s="1" t="n">
        <v>7</v>
      </c>
      <c r="E61" s="1" t="n">
        <v>25</v>
      </c>
      <c r="G61" s="1" t="s">
        <v>43</v>
      </c>
      <c r="H61" s="1" t="s">
        <v>957</v>
      </c>
      <c r="I61" s="1" t="s">
        <v>784</v>
      </c>
      <c r="J61" s="1" t="s">
        <v>815</v>
      </c>
      <c r="K61" s="1" t="n">
        <v>1</v>
      </c>
      <c r="L61" s="22" t="e">
        <f aca="false" t="array" ref="L61:L61">IF(COUNTIF(concat(TRIM('Переформатированный ответ'!$B$2:$B$172),TRIM('Переформатированный ответ'!$C$2:$C$172)),concat(TRIM(B61),TRIM(C61))) &gt; 0,"Есть","Нет")</f>
        <v>#NAME?</v>
      </c>
      <c r="M61" s="34" t="s">
        <v>773</v>
      </c>
      <c r="N61" s="34" t="s">
        <v>773</v>
      </c>
      <c r="O61" s="34" t="s">
        <v>773</v>
      </c>
      <c r="P61" s="34" t="s">
        <v>773</v>
      </c>
      <c r="Q61" s="34" t="s">
        <v>773</v>
      </c>
      <c r="R61" s="34" t="s">
        <v>773</v>
      </c>
      <c r="S61" s="34" t="s">
        <v>773</v>
      </c>
      <c r="T61" s="34" t="s">
        <v>773</v>
      </c>
      <c r="U61" s="34" t="s">
        <v>773</v>
      </c>
      <c r="V61" s="34" t="s">
        <v>773</v>
      </c>
      <c r="W61" s="34" t="s">
        <v>773</v>
      </c>
      <c r="X61" s="34" t="s">
        <v>773</v>
      </c>
      <c r="Y61" s="34" t="s">
        <v>773</v>
      </c>
      <c r="Z61" s="34" t="s">
        <v>773</v>
      </c>
      <c r="AA61" s="34" t="s">
        <v>797</v>
      </c>
      <c r="AB61" s="34" t="s">
        <v>797</v>
      </c>
      <c r="AC61" s="34" t="s">
        <v>773</v>
      </c>
      <c r="AD61" s="34" t="s">
        <v>773</v>
      </c>
      <c r="AE61" s="34" t="s">
        <v>773</v>
      </c>
      <c r="AF61" s="34" t="s">
        <v>773</v>
      </c>
    </row>
    <row r="62" customFormat="false" ht="15.75" hidden="false" customHeight="false" outlineLevel="0" collapsed="false">
      <c r="A62" s="2" t="n">
        <v>42872.6856597222</v>
      </c>
      <c r="B62" s="1" t="s">
        <v>536</v>
      </c>
      <c r="C62" s="1" t="s">
        <v>537</v>
      </c>
      <c r="D62" s="1" t="n">
        <v>7</v>
      </c>
      <c r="E62" s="1" t="s">
        <v>37</v>
      </c>
      <c r="G62" s="3" t="s">
        <v>958</v>
      </c>
      <c r="H62" s="1" t="s">
        <v>959</v>
      </c>
      <c r="I62" s="1" t="s">
        <v>784</v>
      </c>
      <c r="J62" s="1" t="s">
        <v>801</v>
      </c>
      <c r="K62" s="1" t="n">
        <v>2</v>
      </c>
      <c r="L62" s="22" t="e">
        <f aca="false" t="array" ref="L62:L62">IF(COUNTIF(concat(TRIM('Переформатированный ответ'!$B$2:$B$172),TRIM('Переформатированный ответ'!$C$2:$C$172)),concat(TRIM(B62),TRIM(C62))) &gt; 0,"Есть","Нет")</f>
        <v>#NAME?</v>
      </c>
      <c r="M62" s="34" t="s">
        <v>773</v>
      </c>
      <c r="N62" s="34" t="s">
        <v>773</v>
      </c>
      <c r="O62" s="34" t="s">
        <v>773</v>
      </c>
      <c r="P62" s="34" t="s">
        <v>773</v>
      </c>
      <c r="Q62" s="34" t="s">
        <v>773</v>
      </c>
      <c r="R62" s="34" t="s">
        <v>773</v>
      </c>
      <c r="S62" s="34" t="s">
        <v>773</v>
      </c>
      <c r="T62" s="34" t="s">
        <v>773</v>
      </c>
      <c r="U62" s="34" t="s">
        <v>773</v>
      </c>
      <c r="V62" s="34" t="s">
        <v>773</v>
      </c>
      <c r="W62" s="34" t="s">
        <v>773</v>
      </c>
      <c r="X62" s="34" t="s">
        <v>773</v>
      </c>
      <c r="Y62" s="34" t="s">
        <v>773</v>
      </c>
      <c r="Z62" s="34" t="s">
        <v>773</v>
      </c>
      <c r="AA62" s="34" t="s">
        <v>773</v>
      </c>
      <c r="AB62" s="34" t="s">
        <v>773</v>
      </c>
      <c r="AC62" s="34" t="s">
        <v>773</v>
      </c>
      <c r="AD62" s="34" t="s">
        <v>773</v>
      </c>
      <c r="AE62" s="34" t="s">
        <v>773</v>
      </c>
      <c r="AF62" s="34" t="s">
        <v>773</v>
      </c>
    </row>
    <row r="63" customFormat="false" ht="15.75" hidden="false" customHeight="false" outlineLevel="0" collapsed="false">
      <c r="A63" s="2" t="n">
        <v>42872.7177662037</v>
      </c>
      <c r="B63" s="1" t="s">
        <v>960</v>
      </c>
      <c r="C63" s="1" t="s">
        <v>961</v>
      </c>
      <c r="D63" s="1" t="n">
        <v>7</v>
      </c>
      <c r="E63" s="1" t="n">
        <v>98</v>
      </c>
      <c r="G63" s="3" t="s">
        <v>12</v>
      </c>
      <c r="H63" s="1" t="s">
        <v>13</v>
      </c>
      <c r="I63" s="1" t="s">
        <v>784</v>
      </c>
      <c r="J63" s="1" t="s">
        <v>791</v>
      </c>
      <c r="K63" s="1" t="n">
        <v>2</v>
      </c>
      <c r="L63" s="22" t="e">
        <f aca="false" t="array" ref="L63:L63">IF(COUNTIF(concat(TRIM('Переформатированный ответ'!$B$2:$B$172),TRIM('Переформатированный ответ'!$C$2:$C$172)),concat(TRIM(B63),TRIM(C63))) &gt; 0,"Есть","Нет")</f>
        <v>#NAME?</v>
      </c>
      <c r="M63" s="34" t="s">
        <v>773</v>
      </c>
      <c r="N63" s="34" t="s">
        <v>773</v>
      </c>
      <c r="O63" s="34" t="s">
        <v>773</v>
      </c>
      <c r="P63" s="34" t="s">
        <v>773</v>
      </c>
      <c r="Q63" s="34" t="s">
        <v>773</v>
      </c>
      <c r="R63" s="34" t="s">
        <v>773</v>
      </c>
      <c r="S63" s="34" t="s">
        <v>773</v>
      </c>
      <c r="T63" s="34" t="s">
        <v>773</v>
      </c>
      <c r="U63" s="34" t="s">
        <v>773</v>
      </c>
      <c r="V63" s="34" t="s">
        <v>773</v>
      </c>
      <c r="W63" s="34" t="s">
        <v>773</v>
      </c>
      <c r="X63" s="34" t="s">
        <v>773</v>
      </c>
      <c r="Y63" s="34" t="s">
        <v>773</v>
      </c>
      <c r="Z63" s="34" t="s">
        <v>773</v>
      </c>
      <c r="AA63" s="34" t="s">
        <v>797</v>
      </c>
      <c r="AB63" s="34" t="s">
        <v>773</v>
      </c>
      <c r="AC63" s="34" t="s">
        <v>773</v>
      </c>
      <c r="AD63" s="34" t="s">
        <v>773</v>
      </c>
      <c r="AE63" s="34" t="s">
        <v>773</v>
      </c>
      <c r="AF63" s="34" t="s">
        <v>773</v>
      </c>
    </row>
    <row r="64" customFormat="false" ht="15.75" hidden="false" customHeight="false" outlineLevel="0" collapsed="false">
      <c r="A64" s="2" t="n">
        <v>42872.7245023148</v>
      </c>
      <c r="B64" s="1" t="s">
        <v>962</v>
      </c>
      <c r="C64" s="1" t="s">
        <v>31</v>
      </c>
      <c r="D64" s="1" t="n">
        <v>10</v>
      </c>
      <c r="E64" s="1" t="s">
        <v>963</v>
      </c>
      <c r="G64" s="3" t="s">
        <v>964</v>
      </c>
      <c r="H64" s="1" t="s">
        <v>965</v>
      </c>
      <c r="I64" s="1" t="s">
        <v>827</v>
      </c>
      <c r="J64" s="1" t="s">
        <v>806</v>
      </c>
      <c r="K64" s="1" t="n">
        <v>2</v>
      </c>
      <c r="L64" s="22" t="e">
        <f aca="false" t="array" ref="L64:L64">IF(COUNTIF(concat(TRIM('Переформатированный ответ'!$B$2:$B$172),TRIM('Переформатированный ответ'!$C$2:$C$172)),concat(TRIM(B64),TRIM(C64))) &gt; 0,"Есть","Нет")</f>
        <v>#NAME?</v>
      </c>
      <c r="M64" s="34" t="s">
        <v>773</v>
      </c>
      <c r="N64" s="34" t="s">
        <v>773</v>
      </c>
      <c r="O64" s="34" t="s">
        <v>773</v>
      </c>
      <c r="P64" s="34" t="s">
        <v>773</v>
      </c>
      <c r="Q64" s="34" t="s">
        <v>797</v>
      </c>
      <c r="R64" s="34" t="s">
        <v>797</v>
      </c>
      <c r="S64" s="34" t="s">
        <v>773</v>
      </c>
      <c r="T64" s="34" t="s">
        <v>773</v>
      </c>
      <c r="U64" s="34" t="s">
        <v>773</v>
      </c>
      <c r="V64" s="34" t="s">
        <v>773</v>
      </c>
      <c r="W64" s="34" t="s">
        <v>773</v>
      </c>
      <c r="X64" s="34" t="s">
        <v>773</v>
      </c>
      <c r="Y64" s="34" t="s">
        <v>773</v>
      </c>
      <c r="Z64" s="34" t="s">
        <v>773</v>
      </c>
      <c r="AA64" s="34" t="s">
        <v>773</v>
      </c>
      <c r="AB64" s="34" t="s">
        <v>773</v>
      </c>
      <c r="AC64" s="34" t="s">
        <v>773</v>
      </c>
      <c r="AD64" s="34" t="s">
        <v>773</v>
      </c>
      <c r="AE64" s="34" t="s">
        <v>797</v>
      </c>
      <c r="AF64" s="34" t="s">
        <v>797</v>
      </c>
    </row>
    <row r="65" customFormat="false" ht="15.75" hidden="false" customHeight="false" outlineLevel="0" collapsed="false">
      <c r="A65" s="2" t="n">
        <v>42872.7721990741</v>
      </c>
      <c r="B65" s="1" t="s">
        <v>966</v>
      </c>
      <c r="C65" s="1" t="s">
        <v>182</v>
      </c>
      <c r="D65" s="1" t="n">
        <v>9</v>
      </c>
      <c r="E65" s="1" t="s">
        <v>967</v>
      </c>
      <c r="G65" s="3" t="s">
        <v>968</v>
      </c>
      <c r="H65" s="1" t="s">
        <v>969</v>
      </c>
      <c r="I65" s="1" t="s">
        <v>806</v>
      </c>
      <c r="J65" s="1" t="s">
        <v>815</v>
      </c>
      <c r="K65" s="1" t="n">
        <v>2</v>
      </c>
      <c r="L65" s="22" t="e">
        <f aca="false" t="array" ref="L65:L65">IF(COUNTIF(concat(TRIM('Переформатированный ответ'!$B$2:$B$172),TRIM('Переформатированный ответ'!$C$2:$C$172)),concat(TRIM(B65),TRIM(C65))) &gt; 0,"Есть","Нет")</f>
        <v>#NAME?</v>
      </c>
      <c r="M65" s="34" t="s">
        <v>773</v>
      </c>
      <c r="N65" s="34" t="s">
        <v>773</v>
      </c>
      <c r="O65" s="34" t="s">
        <v>797</v>
      </c>
      <c r="P65" s="34" t="s">
        <v>797</v>
      </c>
      <c r="Q65" s="34" t="s">
        <v>797</v>
      </c>
      <c r="R65" s="34" t="s">
        <v>797</v>
      </c>
      <c r="S65" s="34" t="s">
        <v>797</v>
      </c>
      <c r="T65" s="34" t="s">
        <v>797</v>
      </c>
      <c r="U65" s="34" t="s">
        <v>797</v>
      </c>
      <c r="V65" s="34" t="s">
        <v>797</v>
      </c>
      <c r="W65" s="34" t="s">
        <v>773</v>
      </c>
      <c r="X65" s="34" t="s">
        <v>773</v>
      </c>
      <c r="Y65" s="34" t="s">
        <v>797</v>
      </c>
      <c r="Z65" s="34" t="s">
        <v>797</v>
      </c>
      <c r="AA65" s="34" t="s">
        <v>773</v>
      </c>
      <c r="AB65" s="34" t="s">
        <v>773</v>
      </c>
      <c r="AC65" s="34" t="s">
        <v>797</v>
      </c>
      <c r="AD65" s="34" t="s">
        <v>797</v>
      </c>
      <c r="AE65" s="34" t="s">
        <v>797</v>
      </c>
      <c r="AF65" s="34" t="s">
        <v>797</v>
      </c>
    </row>
    <row r="66" customFormat="false" ht="15.75" hidden="false" customHeight="false" outlineLevel="0" collapsed="false">
      <c r="A66" s="2" t="n">
        <v>42872.8203356481</v>
      </c>
      <c r="B66" s="1" t="s">
        <v>46</v>
      </c>
      <c r="C66" s="1" t="s">
        <v>47</v>
      </c>
      <c r="D66" s="1" t="n">
        <v>7</v>
      </c>
      <c r="E66" s="1" t="s">
        <v>37</v>
      </c>
      <c r="G66" s="3" t="s">
        <v>970</v>
      </c>
      <c r="H66" s="1" t="s">
        <v>49</v>
      </c>
      <c r="I66" s="1" t="s">
        <v>790</v>
      </c>
      <c r="J66" s="1" t="s">
        <v>815</v>
      </c>
      <c r="K66" s="1" t="n">
        <v>2</v>
      </c>
      <c r="L66" s="22" t="e">
        <f aca="false" t="array" ref="L66:L66">IF(COUNTIF(concat(TRIM('Переформатированный ответ'!$B$2:$B$172),TRIM('Переформатированный ответ'!$C$2:$C$172)),concat(TRIM(B66),TRIM(C66))) &gt; 0,"Есть","Нет")</f>
        <v>#NAME?</v>
      </c>
      <c r="M66" s="34" t="s">
        <v>773</v>
      </c>
      <c r="N66" s="34" t="s">
        <v>773</v>
      </c>
      <c r="O66" s="34" t="s">
        <v>773</v>
      </c>
      <c r="P66" s="34" t="s">
        <v>773</v>
      </c>
      <c r="Q66" s="34" t="s">
        <v>773</v>
      </c>
      <c r="R66" s="34" t="s">
        <v>773</v>
      </c>
      <c r="S66" s="34" t="s">
        <v>773</v>
      </c>
      <c r="T66" s="34" t="s">
        <v>773</v>
      </c>
      <c r="U66" s="34" t="s">
        <v>773</v>
      </c>
      <c r="V66" s="34" t="s">
        <v>773</v>
      </c>
      <c r="W66" s="34" t="s">
        <v>773</v>
      </c>
      <c r="X66" s="34" t="s">
        <v>773</v>
      </c>
      <c r="Y66" s="34" t="s">
        <v>773</v>
      </c>
      <c r="Z66" s="34" t="s">
        <v>773</v>
      </c>
      <c r="AA66" s="34" t="s">
        <v>773</v>
      </c>
      <c r="AB66" s="34" t="s">
        <v>773</v>
      </c>
      <c r="AC66" s="34" t="s">
        <v>797</v>
      </c>
      <c r="AD66" s="34" t="s">
        <v>797</v>
      </c>
      <c r="AE66" s="34" t="s">
        <v>773</v>
      </c>
      <c r="AF66" s="34" t="s">
        <v>773</v>
      </c>
    </row>
    <row r="67" customFormat="false" ht="15.75" hidden="false" customHeight="false" outlineLevel="0" collapsed="false">
      <c r="A67" s="2" t="n">
        <v>42873.3077893518</v>
      </c>
      <c r="B67" s="1" t="s">
        <v>322</v>
      </c>
      <c r="C67" s="1" t="s">
        <v>286</v>
      </c>
      <c r="D67" s="1" t="n">
        <v>7</v>
      </c>
      <c r="E67" s="1" t="n">
        <v>149</v>
      </c>
      <c r="G67" s="3" t="s">
        <v>971</v>
      </c>
      <c r="H67" s="1" t="s">
        <v>393</v>
      </c>
      <c r="I67" s="1" t="s">
        <v>784</v>
      </c>
      <c r="J67" s="1" t="s">
        <v>815</v>
      </c>
      <c r="K67" s="1" t="n">
        <v>2</v>
      </c>
      <c r="L67" s="22" t="e">
        <f aca="false" t="array" ref="L67:L67">IF(COUNTIF(concat(TRIM('Переформатированный ответ'!$B$2:$B$172),TRIM('Переформатированный ответ'!$C$2:$C$172)),concat(TRIM(B67),TRIM(C67))) &gt; 0,"Есть","Нет")</f>
        <v>#NAME?</v>
      </c>
      <c r="M67" s="34" t="s">
        <v>773</v>
      </c>
      <c r="N67" s="34" t="s">
        <v>773</v>
      </c>
      <c r="O67" s="34" t="s">
        <v>773</v>
      </c>
      <c r="P67" s="34" t="s">
        <v>773</v>
      </c>
      <c r="Q67" s="34" t="s">
        <v>773</v>
      </c>
      <c r="R67" s="34" t="s">
        <v>773</v>
      </c>
      <c r="S67" s="34" t="s">
        <v>773</v>
      </c>
      <c r="T67" s="34" t="s">
        <v>773</v>
      </c>
      <c r="U67" s="34" t="s">
        <v>773</v>
      </c>
      <c r="V67" s="34" t="s">
        <v>773</v>
      </c>
      <c r="W67" s="34" t="s">
        <v>773</v>
      </c>
      <c r="X67" s="34" t="s">
        <v>773</v>
      </c>
      <c r="Y67" s="34" t="s">
        <v>773</v>
      </c>
      <c r="Z67" s="34" t="s">
        <v>773</v>
      </c>
      <c r="AA67" s="34" t="s">
        <v>773</v>
      </c>
      <c r="AB67" s="34" t="s">
        <v>773</v>
      </c>
      <c r="AC67" s="34" t="s">
        <v>773</v>
      </c>
      <c r="AD67" s="34" t="s">
        <v>773</v>
      </c>
      <c r="AE67" s="34" t="s">
        <v>773</v>
      </c>
      <c r="AF67" s="34" t="s">
        <v>773</v>
      </c>
    </row>
    <row r="68" customFormat="false" ht="15.75" hidden="false" customHeight="false" outlineLevel="0" collapsed="false">
      <c r="A68" s="2" t="n">
        <v>42873.3309143519</v>
      </c>
      <c r="B68" s="1" t="s">
        <v>972</v>
      </c>
      <c r="C68" s="1" t="s">
        <v>593</v>
      </c>
      <c r="D68" s="1" t="n">
        <v>10</v>
      </c>
      <c r="E68" s="1" t="n">
        <v>81</v>
      </c>
      <c r="G68" s="3" t="s">
        <v>973</v>
      </c>
      <c r="H68" s="1" t="s">
        <v>974</v>
      </c>
      <c r="I68" s="1" t="s">
        <v>790</v>
      </c>
      <c r="J68" s="1" t="s">
        <v>801</v>
      </c>
      <c r="K68" s="1" t="n">
        <v>2</v>
      </c>
      <c r="L68" s="22" t="e">
        <f aca="false" t="array" ref="L68:L68">IF(COUNTIF(concat(TRIM('Переформатированный ответ'!$B$2:$B$172),TRIM('Переформатированный ответ'!$C$2:$C$172)),concat(TRIM(B68),TRIM(C68))) &gt; 0,"Есть","Нет")</f>
        <v>#NAME?</v>
      </c>
      <c r="M68" s="34" t="s">
        <v>773</v>
      </c>
      <c r="N68" s="34" t="s">
        <v>773</v>
      </c>
      <c r="O68" s="34" t="s">
        <v>773</v>
      </c>
      <c r="P68" s="34" t="s">
        <v>773</v>
      </c>
      <c r="Q68" s="34" t="s">
        <v>773</v>
      </c>
      <c r="R68" s="34" t="s">
        <v>773</v>
      </c>
      <c r="S68" s="34" t="s">
        <v>773</v>
      </c>
      <c r="T68" s="34" t="s">
        <v>773</v>
      </c>
      <c r="U68" s="34" t="s">
        <v>773</v>
      </c>
      <c r="V68" s="34" t="s">
        <v>773</v>
      </c>
      <c r="W68" s="34" t="s">
        <v>773</v>
      </c>
      <c r="X68" s="34" t="s">
        <v>773</v>
      </c>
      <c r="Y68" s="34" t="s">
        <v>773</v>
      </c>
      <c r="Z68" s="34" t="s">
        <v>773</v>
      </c>
      <c r="AA68" s="34" t="s">
        <v>773</v>
      </c>
      <c r="AB68" s="34" t="s">
        <v>773</v>
      </c>
      <c r="AC68" s="34" t="s">
        <v>773</v>
      </c>
      <c r="AD68" s="34" t="s">
        <v>773</v>
      </c>
      <c r="AE68" s="34" t="s">
        <v>773</v>
      </c>
      <c r="AF68" s="34" t="s">
        <v>773</v>
      </c>
    </row>
    <row r="69" customFormat="false" ht="15.75" hidden="false" customHeight="false" outlineLevel="0" collapsed="false">
      <c r="A69" s="2" t="n">
        <v>42873.4117824074</v>
      </c>
      <c r="B69" s="1" t="s">
        <v>975</v>
      </c>
      <c r="C69" s="1" t="s">
        <v>976</v>
      </c>
      <c r="D69" s="1" t="n">
        <v>10</v>
      </c>
      <c r="E69" s="1" t="n">
        <v>117</v>
      </c>
      <c r="G69" s="3" t="s">
        <v>977</v>
      </c>
      <c r="H69" s="1" t="s">
        <v>978</v>
      </c>
      <c r="I69" s="1" t="s">
        <v>795</v>
      </c>
      <c r="J69" s="1" t="s">
        <v>796</v>
      </c>
      <c r="K69" s="1" t="n">
        <v>2</v>
      </c>
      <c r="L69" s="22" t="e">
        <f aca="false" t="array" ref="L69:L69">IF(COUNTIF(concat(TRIM('Переформатированный ответ'!$B$2:$B$172),TRIM('Переформатированный ответ'!$C$2:$C$172)),concat(TRIM(B69),TRIM(C69))) &gt; 0,"Есть","Нет")</f>
        <v>#NAME?</v>
      </c>
      <c r="M69" s="34" t="s">
        <v>773</v>
      </c>
      <c r="N69" s="34" t="s">
        <v>773</v>
      </c>
      <c r="O69" s="34" t="s">
        <v>773</v>
      </c>
      <c r="P69" s="34" t="s">
        <v>773</v>
      </c>
      <c r="Q69" s="34" t="s">
        <v>773</v>
      </c>
      <c r="R69" s="34" t="s">
        <v>773</v>
      </c>
      <c r="S69" s="34" t="s">
        <v>773</v>
      </c>
      <c r="T69" s="34" t="s">
        <v>773</v>
      </c>
      <c r="U69" s="34" t="s">
        <v>773</v>
      </c>
      <c r="V69" s="34" t="s">
        <v>773</v>
      </c>
      <c r="W69" s="34" t="s">
        <v>773</v>
      </c>
      <c r="X69" s="34" t="s">
        <v>773</v>
      </c>
      <c r="Y69" s="34" t="s">
        <v>773</v>
      </c>
      <c r="Z69" s="34" t="s">
        <v>773</v>
      </c>
      <c r="AA69" s="34" t="s">
        <v>773</v>
      </c>
      <c r="AB69" s="34" t="s">
        <v>773</v>
      </c>
      <c r="AC69" s="34" t="s">
        <v>773</v>
      </c>
      <c r="AD69" s="34" t="s">
        <v>773</v>
      </c>
      <c r="AE69" s="34" t="s">
        <v>773</v>
      </c>
      <c r="AF69" s="34" t="s">
        <v>773</v>
      </c>
    </row>
    <row r="70" customFormat="false" ht="15.75" hidden="false" customHeight="false" outlineLevel="0" collapsed="false">
      <c r="A70" s="2" t="n">
        <v>42873.4809606482</v>
      </c>
      <c r="B70" s="1" t="s">
        <v>979</v>
      </c>
      <c r="C70" s="1" t="s">
        <v>672</v>
      </c>
      <c r="D70" s="1" t="n">
        <v>10</v>
      </c>
      <c r="E70" s="1" t="n">
        <v>117</v>
      </c>
      <c r="G70" s="3" t="s">
        <v>980</v>
      </c>
      <c r="H70" s="1" t="s">
        <v>981</v>
      </c>
      <c r="I70" s="1" t="s">
        <v>806</v>
      </c>
      <c r="J70" s="1" t="s">
        <v>796</v>
      </c>
      <c r="K70" s="1" t="n">
        <v>2</v>
      </c>
      <c r="L70" s="22" t="e">
        <f aca="false" t="array" ref="L70:L70">IF(COUNTIF(concat(TRIM('Переформатированный ответ'!$B$2:$B$172),TRIM('Переформатированный ответ'!$C$2:$C$172)),concat(TRIM(B70),TRIM(C70))) &gt; 0,"Есть","Нет")</f>
        <v>#NAME?</v>
      </c>
      <c r="M70" s="34" t="s">
        <v>773</v>
      </c>
      <c r="N70" s="34" t="s">
        <v>773</v>
      </c>
      <c r="O70" s="34" t="s">
        <v>773</v>
      </c>
      <c r="P70" s="34" t="s">
        <v>773</v>
      </c>
      <c r="Q70" s="34" t="s">
        <v>773</v>
      </c>
      <c r="R70" s="34" t="s">
        <v>773</v>
      </c>
      <c r="S70" s="34" t="s">
        <v>773</v>
      </c>
      <c r="T70" s="34" t="s">
        <v>773</v>
      </c>
      <c r="U70" s="34" t="s">
        <v>773</v>
      </c>
      <c r="V70" s="34" t="s">
        <v>773</v>
      </c>
      <c r="W70" s="34" t="s">
        <v>797</v>
      </c>
      <c r="X70" s="34" t="s">
        <v>797</v>
      </c>
      <c r="Y70" s="34" t="s">
        <v>773</v>
      </c>
      <c r="Z70" s="34" t="s">
        <v>773</v>
      </c>
      <c r="AA70" s="34" t="s">
        <v>773</v>
      </c>
      <c r="AB70" s="34" t="s">
        <v>773</v>
      </c>
      <c r="AC70" s="34" t="s">
        <v>773</v>
      </c>
      <c r="AD70" s="34" t="s">
        <v>773</v>
      </c>
      <c r="AE70" s="34" t="s">
        <v>773</v>
      </c>
      <c r="AF70" s="34" t="s">
        <v>773</v>
      </c>
    </row>
    <row r="71" customFormat="false" ht="15.75" hidden="false" customHeight="false" outlineLevel="0" collapsed="false">
      <c r="A71" s="2" t="n">
        <v>42873.5620138889</v>
      </c>
      <c r="B71" s="1" t="s">
        <v>494</v>
      </c>
      <c r="C71" s="1" t="s">
        <v>593</v>
      </c>
      <c r="D71" s="1" t="n">
        <v>10</v>
      </c>
      <c r="E71" s="1" t="s">
        <v>82</v>
      </c>
      <c r="G71" s="3" t="s">
        <v>982</v>
      </c>
      <c r="H71" s="1" t="s">
        <v>118</v>
      </c>
      <c r="I71" s="1" t="s">
        <v>827</v>
      </c>
      <c r="J71" s="1" t="s">
        <v>784</v>
      </c>
      <c r="K71" s="1" t="n">
        <v>2</v>
      </c>
      <c r="L71" s="22" t="e">
        <f aca="false" t="array" ref="L71:L71">IF(COUNTIF(concat(TRIM('Переформатированный ответ'!$B$2:$B$172),TRIM('Переформатированный ответ'!$C$2:$C$172)),concat(TRIM(B71),TRIM(C71))) &gt; 0,"Есть","Нет")</f>
        <v>#NAME?</v>
      </c>
      <c r="M71" s="34" t="s">
        <v>773</v>
      </c>
      <c r="N71" s="34" t="s">
        <v>773</v>
      </c>
      <c r="O71" s="34" t="s">
        <v>773</v>
      </c>
      <c r="P71" s="34" t="s">
        <v>773</v>
      </c>
      <c r="Q71" s="34" t="s">
        <v>797</v>
      </c>
      <c r="R71" s="34" t="s">
        <v>797</v>
      </c>
      <c r="S71" s="34" t="s">
        <v>773</v>
      </c>
      <c r="T71" s="34" t="s">
        <v>773</v>
      </c>
      <c r="U71" s="34" t="s">
        <v>773</v>
      </c>
      <c r="V71" s="34" t="s">
        <v>773</v>
      </c>
      <c r="W71" s="34" t="s">
        <v>773</v>
      </c>
      <c r="X71" s="34" t="s">
        <v>773</v>
      </c>
      <c r="Y71" s="34" t="s">
        <v>773</v>
      </c>
      <c r="Z71" s="34" t="s">
        <v>773</v>
      </c>
      <c r="AA71" s="34" t="s">
        <v>773</v>
      </c>
      <c r="AB71" s="34" t="s">
        <v>773</v>
      </c>
      <c r="AC71" s="34" t="s">
        <v>773</v>
      </c>
      <c r="AD71" s="34" t="s">
        <v>773</v>
      </c>
      <c r="AE71" s="34" t="s">
        <v>773</v>
      </c>
      <c r="AF71" s="34" t="s">
        <v>773</v>
      </c>
    </row>
    <row r="72" customFormat="false" ht="15.75" hidden="false" customHeight="false" outlineLevel="0" collapsed="false">
      <c r="A72" s="2" t="n">
        <v>42873.6433333333</v>
      </c>
      <c r="B72" s="1" t="s">
        <v>983</v>
      </c>
      <c r="C72" s="1" t="s">
        <v>190</v>
      </c>
      <c r="D72" s="1" t="n">
        <v>10</v>
      </c>
      <c r="E72" s="1" t="s">
        <v>37</v>
      </c>
      <c r="G72" s="3" t="s">
        <v>984</v>
      </c>
      <c r="H72" s="1" t="s">
        <v>985</v>
      </c>
      <c r="I72" s="1" t="s">
        <v>806</v>
      </c>
      <c r="J72" s="1" t="s">
        <v>815</v>
      </c>
      <c r="K72" s="1" t="n">
        <v>2</v>
      </c>
      <c r="L72" s="22" t="e">
        <f aca="false" t="array" ref="L72:L72">IF(COUNTIF(concat(TRIM('Переформатированный ответ'!$B$2:$B$172),TRIM('Переформатированный ответ'!$C$2:$C$172)),concat(TRIM(B72),TRIM(C72))) &gt; 0,"Есть","Нет")</f>
        <v>#NAME?</v>
      </c>
      <c r="M72" s="34" t="s">
        <v>773</v>
      </c>
      <c r="N72" s="34" t="s">
        <v>773</v>
      </c>
      <c r="O72" s="34" t="s">
        <v>773</v>
      </c>
      <c r="P72" s="34" t="s">
        <v>773</v>
      </c>
      <c r="Q72" s="34" t="s">
        <v>773</v>
      </c>
      <c r="R72" s="34" t="s">
        <v>773</v>
      </c>
      <c r="S72" s="34" t="s">
        <v>773</v>
      </c>
      <c r="T72" s="34" t="s">
        <v>773</v>
      </c>
      <c r="U72" s="34" t="s">
        <v>773</v>
      </c>
      <c r="V72" s="34" t="s">
        <v>773</v>
      </c>
      <c r="W72" s="34" t="s">
        <v>773</v>
      </c>
      <c r="X72" s="34" t="s">
        <v>773</v>
      </c>
      <c r="Y72" s="34" t="s">
        <v>773</v>
      </c>
      <c r="Z72" s="34" t="s">
        <v>773</v>
      </c>
      <c r="AA72" s="34" t="s">
        <v>773</v>
      </c>
      <c r="AB72" s="34" t="s">
        <v>773</v>
      </c>
      <c r="AC72" s="34" t="s">
        <v>773</v>
      </c>
      <c r="AD72" s="34" t="s">
        <v>773</v>
      </c>
      <c r="AE72" s="34" t="s">
        <v>773</v>
      </c>
      <c r="AF72" s="34" t="s">
        <v>773</v>
      </c>
    </row>
    <row r="73" customFormat="false" ht="15.75" hidden="false" customHeight="false" outlineLevel="0" collapsed="false">
      <c r="A73" s="2" t="n">
        <v>42873.7157638889</v>
      </c>
      <c r="B73" s="1" t="s">
        <v>421</v>
      </c>
      <c r="C73" s="1" t="s">
        <v>31</v>
      </c>
      <c r="D73" s="1" t="n">
        <v>7</v>
      </c>
      <c r="E73" s="1" t="s">
        <v>37</v>
      </c>
      <c r="G73" s="3" t="s">
        <v>986</v>
      </c>
      <c r="H73" s="1" t="s">
        <v>987</v>
      </c>
      <c r="I73" s="1" t="s">
        <v>784</v>
      </c>
      <c r="J73" s="1" t="s">
        <v>815</v>
      </c>
      <c r="K73" s="1" t="n">
        <v>2</v>
      </c>
      <c r="L73" s="22" t="e">
        <f aca="false" t="array" ref="L73:L73">IF(COUNTIF(concat(TRIM('Переформатированный ответ'!$B$2:$B$172),TRIM('Переформатированный ответ'!$C$2:$C$172)),concat(TRIM(B73),TRIM(C73))) &gt; 0,"Есть","Нет")</f>
        <v>#NAME?</v>
      </c>
      <c r="M73" s="34" t="s">
        <v>773</v>
      </c>
      <c r="N73" s="34" t="s">
        <v>773</v>
      </c>
      <c r="O73" s="34" t="s">
        <v>773</v>
      </c>
      <c r="P73" s="34" t="s">
        <v>773</v>
      </c>
      <c r="Q73" s="34" t="s">
        <v>773</v>
      </c>
      <c r="R73" s="34" t="s">
        <v>773</v>
      </c>
      <c r="S73" s="34" t="s">
        <v>773</v>
      </c>
      <c r="T73" s="34" t="s">
        <v>773</v>
      </c>
      <c r="U73" s="34" t="s">
        <v>773</v>
      </c>
      <c r="V73" s="34" t="s">
        <v>773</v>
      </c>
      <c r="W73" s="34" t="s">
        <v>773</v>
      </c>
      <c r="X73" s="34" t="s">
        <v>773</v>
      </c>
      <c r="Y73" s="34" t="s">
        <v>773</v>
      </c>
      <c r="Z73" s="34" t="s">
        <v>773</v>
      </c>
      <c r="AA73" s="34" t="s">
        <v>773</v>
      </c>
      <c r="AB73" s="34" t="s">
        <v>773</v>
      </c>
      <c r="AC73" s="34" t="s">
        <v>773</v>
      </c>
      <c r="AD73" s="34" t="s">
        <v>773</v>
      </c>
      <c r="AE73" s="34" t="s">
        <v>773</v>
      </c>
      <c r="AF73" s="34" t="s">
        <v>773</v>
      </c>
    </row>
    <row r="74" customFormat="false" ht="15.75" hidden="false" customHeight="false" outlineLevel="0" collapsed="false">
      <c r="A74" s="2" t="n">
        <v>42873.7369212963</v>
      </c>
      <c r="B74" s="1" t="s">
        <v>154</v>
      </c>
      <c r="C74" s="1" t="s">
        <v>155</v>
      </c>
      <c r="D74" s="1" t="n">
        <v>9</v>
      </c>
      <c r="E74" s="1" t="s">
        <v>988</v>
      </c>
      <c r="G74" s="3" t="s">
        <v>158</v>
      </c>
      <c r="H74" s="1" t="s">
        <v>159</v>
      </c>
      <c r="I74" s="1" t="s">
        <v>815</v>
      </c>
      <c r="J74" s="1" t="s">
        <v>784</v>
      </c>
      <c r="K74" s="1" t="n">
        <v>2</v>
      </c>
      <c r="L74" s="22" t="e">
        <f aca="false" t="array" ref="L74:L74">IF(COUNTIF(concat(TRIM('Переформатированный ответ'!$B$2:$B$172),TRIM('Переформатированный ответ'!$C$2:$C$172)),concat(TRIM(B74),TRIM(C74))) &gt; 0,"Есть","Нет")</f>
        <v>#NAME?</v>
      </c>
      <c r="M74" s="34" t="s">
        <v>773</v>
      </c>
      <c r="N74" s="34" t="s">
        <v>773</v>
      </c>
      <c r="O74" s="34" t="s">
        <v>773</v>
      </c>
      <c r="P74" s="34" t="s">
        <v>773</v>
      </c>
      <c r="Q74" s="34" t="s">
        <v>773</v>
      </c>
      <c r="R74" s="34" t="s">
        <v>773</v>
      </c>
      <c r="S74" s="34" t="s">
        <v>773</v>
      </c>
      <c r="T74" s="34" t="s">
        <v>773</v>
      </c>
      <c r="U74" s="34" t="s">
        <v>773</v>
      </c>
      <c r="V74" s="34" t="s">
        <v>773</v>
      </c>
      <c r="W74" s="34" t="s">
        <v>773</v>
      </c>
      <c r="X74" s="34" t="s">
        <v>773</v>
      </c>
      <c r="Y74" s="34" t="s">
        <v>773</v>
      </c>
      <c r="Z74" s="34" t="s">
        <v>773</v>
      </c>
      <c r="AA74" s="34" t="s">
        <v>773</v>
      </c>
      <c r="AB74" s="34" t="s">
        <v>773</v>
      </c>
      <c r="AC74" s="34" t="s">
        <v>773</v>
      </c>
      <c r="AD74" s="34" t="s">
        <v>773</v>
      </c>
      <c r="AE74" s="34" t="s">
        <v>773</v>
      </c>
      <c r="AF74" s="34" t="s">
        <v>773</v>
      </c>
    </row>
    <row r="75" customFormat="false" ht="15.75" hidden="false" customHeight="false" outlineLevel="0" collapsed="false">
      <c r="A75" s="2" t="n">
        <v>42873.8095949074</v>
      </c>
      <c r="B75" s="1" t="s">
        <v>989</v>
      </c>
      <c r="C75" s="1" t="s">
        <v>31</v>
      </c>
      <c r="D75" s="1" t="n">
        <v>10</v>
      </c>
      <c r="E75" s="1" t="n">
        <v>117</v>
      </c>
      <c r="G75" s="3" t="s">
        <v>990</v>
      </c>
      <c r="H75" s="1" t="s">
        <v>991</v>
      </c>
      <c r="I75" s="1" t="s">
        <v>783</v>
      </c>
      <c r="J75" s="1" t="s">
        <v>806</v>
      </c>
      <c r="K75" s="1" t="n">
        <v>2</v>
      </c>
      <c r="L75" s="22" t="e">
        <f aca="false" t="array" ref="L75:L75">IF(COUNTIF(concat(TRIM('Переформатированный ответ'!$B$2:$B$172),TRIM('Переформатированный ответ'!$C$2:$C$172)),concat(TRIM(B75),TRIM(C75))) &gt; 0,"Есть","Нет")</f>
        <v>#NAME?</v>
      </c>
      <c r="M75" s="34" t="s">
        <v>797</v>
      </c>
      <c r="N75" s="34" t="s">
        <v>797</v>
      </c>
      <c r="O75" s="34" t="s">
        <v>797</v>
      </c>
      <c r="P75" s="34" t="s">
        <v>797</v>
      </c>
      <c r="Q75" s="34" t="s">
        <v>797</v>
      </c>
      <c r="R75" s="34" t="s">
        <v>797</v>
      </c>
      <c r="S75" s="34" t="s">
        <v>797</v>
      </c>
      <c r="T75" s="34" t="s">
        <v>797</v>
      </c>
      <c r="U75" s="34" t="s">
        <v>797</v>
      </c>
      <c r="V75" s="34" t="s">
        <v>797</v>
      </c>
      <c r="W75" s="34" t="s">
        <v>797</v>
      </c>
      <c r="X75" s="34" t="s">
        <v>797</v>
      </c>
      <c r="Y75" s="34" t="s">
        <v>797</v>
      </c>
      <c r="Z75" s="34" t="s">
        <v>797</v>
      </c>
      <c r="AA75" s="34" t="s">
        <v>797</v>
      </c>
      <c r="AB75" s="34" t="s">
        <v>797</v>
      </c>
      <c r="AC75" s="34" t="s">
        <v>797</v>
      </c>
      <c r="AD75" s="34" t="s">
        <v>797</v>
      </c>
      <c r="AE75" s="34" t="s">
        <v>797</v>
      </c>
      <c r="AF75" s="34" t="s">
        <v>797</v>
      </c>
    </row>
    <row r="76" customFormat="false" ht="15.75" hidden="false" customHeight="false" outlineLevel="0" collapsed="false">
      <c r="A76" s="2" t="n">
        <v>42874.4494560185</v>
      </c>
      <c r="B76" s="1" t="s">
        <v>675</v>
      </c>
      <c r="C76" s="1" t="s">
        <v>173</v>
      </c>
      <c r="D76" s="1" t="n">
        <v>7</v>
      </c>
      <c r="E76" s="1" t="s">
        <v>241</v>
      </c>
      <c r="G76" s="3" t="s">
        <v>992</v>
      </c>
      <c r="H76" s="1" t="s">
        <v>993</v>
      </c>
      <c r="I76" s="1" t="s">
        <v>784</v>
      </c>
      <c r="J76" s="1" t="s">
        <v>827</v>
      </c>
      <c r="K76" s="1" t="n">
        <v>2</v>
      </c>
      <c r="L76" s="22" t="e">
        <f aca="false" t="array" ref="L76:L76">IF(COUNTIF(concat(TRIM('Переформатированный ответ'!$B$2:$B$172),TRIM('Переформатированный ответ'!$C$2:$C$172)),concat(TRIM(B76),TRIM(C76))) &gt; 0,"Есть","Нет")</f>
        <v>#NAME?</v>
      </c>
      <c r="M76" s="34" t="s">
        <v>773</v>
      </c>
      <c r="N76" s="34" t="s">
        <v>773</v>
      </c>
      <c r="O76" s="34" t="s">
        <v>797</v>
      </c>
      <c r="P76" s="34" t="s">
        <v>797</v>
      </c>
      <c r="Q76" s="34" t="s">
        <v>773</v>
      </c>
      <c r="R76" s="34" t="s">
        <v>773</v>
      </c>
      <c r="S76" s="34" t="s">
        <v>773</v>
      </c>
      <c r="T76" s="34" t="s">
        <v>773</v>
      </c>
      <c r="U76" s="34" t="s">
        <v>773</v>
      </c>
      <c r="V76" s="34" t="s">
        <v>773</v>
      </c>
      <c r="W76" s="34" t="s">
        <v>773</v>
      </c>
      <c r="X76" s="34" t="s">
        <v>773</v>
      </c>
      <c r="Y76" s="34" t="s">
        <v>773</v>
      </c>
      <c r="Z76" s="34" t="s">
        <v>773</v>
      </c>
      <c r="AA76" s="34" t="s">
        <v>773</v>
      </c>
      <c r="AB76" s="34" t="s">
        <v>773</v>
      </c>
      <c r="AC76" s="34" t="s">
        <v>773</v>
      </c>
      <c r="AD76" s="34" t="s">
        <v>773</v>
      </c>
      <c r="AE76" s="34" t="s">
        <v>773</v>
      </c>
      <c r="AF76" s="34" t="s">
        <v>773</v>
      </c>
    </row>
    <row r="77" customFormat="false" ht="15.75" hidden="false" customHeight="false" outlineLevel="0" collapsed="false">
      <c r="A77" s="2" t="n">
        <v>42874.471875</v>
      </c>
      <c r="B77" s="1" t="s">
        <v>994</v>
      </c>
      <c r="C77" s="1" t="s">
        <v>995</v>
      </c>
      <c r="D77" s="1" t="n">
        <v>10</v>
      </c>
      <c r="E77" s="1" t="s">
        <v>996</v>
      </c>
      <c r="G77" s="3" t="s">
        <v>997</v>
      </c>
      <c r="H77" s="1" t="s">
        <v>998</v>
      </c>
      <c r="I77" s="1" t="s">
        <v>827</v>
      </c>
      <c r="J77" s="1" t="s">
        <v>784</v>
      </c>
      <c r="K77" s="1" t="n">
        <v>2</v>
      </c>
      <c r="L77" s="22" t="e">
        <f aca="false" t="array" ref="L77:L77">IF(COUNTIF(concat(TRIM('Переформатированный ответ'!$B$2:$B$172),TRIM('Переформатированный ответ'!$C$2:$C$172)),concat(TRIM(B77),TRIM(C77))) &gt; 0,"Есть","Нет")</f>
        <v>#NAME?</v>
      </c>
      <c r="M77" s="34" t="s">
        <v>797</v>
      </c>
      <c r="N77" s="34" t="s">
        <v>797</v>
      </c>
      <c r="O77" s="34" t="s">
        <v>797</v>
      </c>
      <c r="P77" s="34" t="s">
        <v>797</v>
      </c>
      <c r="Q77" s="34" t="s">
        <v>797</v>
      </c>
      <c r="R77" s="34" t="s">
        <v>797</v>
      </c>
      <c r="S77" s="34" t="s">
        <v>797</v>
      </c>
      <c r="T77" s="34" t="s">
        <v>797</v>
      </c>
      <c r="U77" s="34" t="s">
        <v>797</v>
      </c>
      <c r="V77" s="34" t="s">
        <v>797</v>
      </c>
      <c r="W77" s="34" t="s">
        <v>773</v>
      </c>
      <c r="X77" s="34" t="s">
        <v>773</v>
      </c>
      <c r="Y77" s="34" t="s">
        <v>773</v>
      </c>
      <c r="Z77" s="34" t="s">
        <v>773</v>
      </c>
      <c r="AA77" s="34" t="s">
        <v>797</v>
      </c>
      <c r="AB77" s="34" t="s">
        <v>797</v>
      </c>
      <c r="AC77" s="34" t="s">
        <v>797</v>
      </c>
      <c r="AD77" s="34" t="s">
        <v>797</v>
      </c>
      <c r="AE77" s="34"/>
      <c r="AF77" s="34"/>
    </row>
    <row r="78" customFormat="false" ht="15.75" hidden="false" customHeight="false" outlineLevel="0" collapsed="false">
      <c r="A78" s="2" t="n">
        <v>42874.7709722222</v>
      </c>
      <c r="B78" s="1" t="s">
        <v>398</v>
      </c>
      <c r="C78" s="1" t="s">
        <v>350</v>
      </c>
      <c r="D78" s="1" t="n">
        <v>7</v>
      </c>
      <c r="E78" s="1" t="s">
        <v>399</v>
      </c>
      <c r="G78" s="3" t="s">
        <v>999</v>
      </c>
      <c r="H78" s="1" t="s">
        <v>401</v>
      </c>
      <c r="I78" s="1" t="s">
        <v>791</v>
      </c>
      <c r="J78" s="1" t="s">
        <v>815</v>
      </c>
      <c r="K78" s="1" t="n">
        <v>2</v>
      </c>
      <c r="L78" s="22" t="e">
        <f aca="false" t="array" ref="L78:L78">IF(COUNTIF(concat(TRIM('Переформатированный ответ'!$B$2:$B$172),TRIM('Переформатированный ответ'!$C$2:$C$172)),concat(TRIM(B78),TRIM(C78))) &gt; 0,"Есть","Нет")</f>
        <v>#NAME?</v>
      </c>
      <c r="M78" s="34" t="s">
        <v>773</v>
      </c>
      <c r="N78" s="34" t="s">
        <v>773</v>
      </c>
      <c r="O78" s="34" t="s">
        <v>773</v>
      </c>
      <c r="P78" s="34" t="s">
        <v>773</v>
      </c>
      <c r="Q78" s="34" t="s">
        <v>773</v>
      </c>
      <c r="R78" s="34" t="s">
        <v>773</v>
      </c>
      <c r="S78" s="34" t="s">
        <v>773</v>
      </c>
      <c r="T78" s="34" t="s">
        <v>773</v>
      </c>
      <c r="U78" s="34" t="s">
        <v>773</v>
      </c>
      <c r="V78" s="34" t="s">
        <v>773</v>
      </c>
      <c r="W78" s="34" t="s">
        <v>773</v>
      </c>
      <c r="X78" s="34" t="s">
        <v>773</v>
      </c>
      <c r="Y78" s="34" t="s">
        <v>773</v>
      </c>
      <c r="Z78" s="34" t="s">
        <v>773</v>
      </c>
      <c r="AA78" s="34" t="s">
        <v>773</v>
      </c>
      <c r="AB78" s="34" t="s">
        <v>773</v>
      </c>
      <c r="AC78" s="34" t="s">
        <v>773</v>
      </c>
      <c r="AD78" s="34" t="s">
        <v>773</v>
      </c>
      <c r="AE78" s="34" t="s">
        <v>773</v>
      </c>
      <c r="AF78" s="34" t="s">
        <v>773</v>
      </c>
    </row>
    <row r="79" customFormat="false" ht="15.75" hidden="false" customHeight="false" outlineLevel="0" collapsed="false">
      <c r="A79" s="2" t="n">
        <v>42876.7135648148</v>
      </c>
      <c r="B79" s="1" t="s">
        <v>599</v>
      </c>
      <c r="C79" s="1" t="s">
        <v>161</v>
      </c>
      <c r="D79" s="1" t="n">
        <v>9</v>
      </c>
      <c r="E79" s="1" t="n">
        <v>64</v>
      </c>
      <c r="G79" s="3" t="s">
        <v>600</v>
      </c>
      <c r="H79" s="1" t="s">
        <v>1000</v>
      </c>
      <c r="I79" s="1" t="s">
        <v>795</v>
      </c>
      <c r="J79" s="1" t="s">
        <v>815</v>
      </c>
      <c r="K79" s="1" t="n">
        <v>2</v>
      </c>
      <c r="L79" s="22" t="e">
        <f aca="false" t="array" ref="L79:L79">IF(COUNTIF(concat(TRIM('Переформатированный ответ'!$B$2:$B$172),TRIM('Переформатированный ответ'!$C$2:$C$172)),concat(TRIM(B79),TRIM(C79))) &gt; 0,"Есть","Нет")</f>
        <v>#NAME?</v>
      </c>
      <c r="M79" s="34" t="s">
        <v>797</v>
      </c>
      <c r="N79" s="34" t="s">
        <v>797</v>
      </c>
      <c r="O79" s="34" t="s">
        <v>773</v>
      </c>
      <c r="P79" s="34" t="s">
        <v>773</v>
      </c>
      <c r="Q79" s="34" t="s">
        <v>773</v>
      </c>
      <c r="R79" s="34" t="s">
        <v>773</v>
      </c>
      <c r="S79" s="34" t="s">
        <v>773</v>
      </c>
      <c r="T79" s="34" t="s">
        <v>773</v>
      </c>
      <c r="U79" s="34" t="s">
        <v>773</v>
      </c>
      <c r="V79" s="34" t="s">
        <v>773</v>
      </c>
      <c r="W79" s="34" t="s">
        <v>797</v>
      </c>
      <c r="X79" s="34" t="s">
        <v>797</v>
      </c>
      <c r="Y79" s="34" t="s">
        <v>797</v>
      </c>
      <c r="Z79" s="34" t="s">
        <v>797</v>
      </c>
      <c r="AA79" s="34" t="s">
        <v>797</v>
      </c>
      <c r="AB79" s="34" t="s">
        <v>797</v>
      </c>
      <c r="AC79" s="34" t="s">
        <v>797</v>
      </c>
      <c r="AD79" s="34" t="s">
        <v>797</v>
      </c>
      <c r="AE79" s="34" t="s">
        <v>797</v>
      </c>
      <c r="AF79" s="34" t="s">
        <v>797</v>
      </c>
    </row>
    <row r="80" customFormat="false" ht="15.75" hidden="false" customHeight="false" outlineLevel="0" collapsed="false">
      <c r="A80" s="2" t="n">
        <v>42876.9274652778</v>
      </c>
      <c r="B80" s="1" t="s">
        <v>382</v>
      </c>
      <c r="C80" s="1" t="s">
        <v>383</v>
      </c>
      <c r="D80" s="1" t="n">
        <v>9</v>
      </c>
      <c r="E80" s="1" t="s">
        <v>384</v>
      </c>
      <c r="F80" s="1" t="s">
        <v>1001</v>
      </c>
      <c r="G80" s="3" t="s">
        <v>1002</v>
      </c>
      <c r="H80" s="1" t="s">
        <v>386</v>
      </c>
      <c r="I80" s="1" t="s">
        <v>827</v>
      </c>
      <c r="J80" s="1" t="s">
        <v>791</v>
      </c>
      <c r="K80" s="1" t="n">
        <v>2</v>
      </c>
      <c r="L80" s="22" t="e">
        <f aca="false" t="array" ref="L80:L80">IF(COUNTIF(concat(TRIM('Переформатированный ответ'!$B$2:$B$172),TRIM('Переформатированный ответ'!$C$2:$C$172)),concat(TRIM(B80),TRIM(C80))) &gt; 0,"Есть","Нет")</f>
        <v>#NAME?</v>
      </c>
      <c r="M80" s="34" t="s">
        <v>773</v>
      </c>
      <c r="N80" s="34" t="s">
        <v>773</v>
      </c>
      <c r="O80" s="34" t="s">
        <v>773</v>
      </c>
      <c r="P80" s="34" t="s">
        <v>773</v>
      </c>
      <c r="Q80" s="34" t="s">
        <v>773</v>
      </c>
      <c r="R80" s="34" t="s">
        <v>773</v>
      </c>
      <c r="S80" s="34" t="s">
        <v>773</v>
      </c>
      <c r="T80" s="34" t="s">
        <v>773</v>
      </c>
      <c r="U80" s="34" t="s">
        <v>773</v>
      </c>
      <c r="V80" s="34" t="s">
        <v>773</v>
      </c>
      <c r="W80" s="34" t="s">
        <v>773</v>
      </c>
      <c r="X80" s="34" t="s">
        <v>773</v>
      </c>
      <c r="Y80" s="34" t="s">
        <v>773</v>
      </c>
      <c r="Z80" s="34" t="s">
        <v>773</v>
      </c>
      <c r="AA80" s="34" t="s">
        <v>773</v>
      </c>
      <c r="AB80" s="34" t="s">
        <v>773</v>
      </c>
      <c r="AC80" s="34" t="s">
        <v>773</v>
      </c>
      <c r="AD80" s="34" t="s">
        <v>773</v>
      </c>
      <c r="AE80" s="34" t="s">
        <v>773</v>
      </c>
      <c r="AF80" s="34" t="s">
        <v>773</v>
      </c>
    </row>
    <row r="81" customFormat="false" ht="15.75" hidden="false" customHeight="false" outlineLevel="0" collapsed="false">
      <c r="A81" s="2" t="n">
        <v>42877.6324652778</v>
      </c>
      <c r="B81" s="1" t="s">
        <v>1003</v>
      </c>
      <c r="C81" s="1" t="s">
        <v>120</v>
      </c>
      <c r="D81" s="1" t="n">
        <v>10</v>
      </c>
      <c r="E81" s="1" t="s">
        <v>219</v>
      </c>
      <c r="G81" s="3" t="s">
        <v>1004</v>
      </c>
      <c r="H81" s="1" t="s">
        <v>1005</v>
      </c>
      <c r="I81" s="1" t="s">
        <v>815</v>
      </c>
      <c r="J81" s="1" t="s">
        <v>801</v>
      </c>
      <c r="K81" s="1" t="n">
        <v>2</v>
      </c>
      <c r="L81" s="22" t="e">
        <f aca="false" t="array" ref="L81:L81">IF(COUNTIF(concat(TRIM('Переформатированный ответ'!$B$2:$B$172),TRIM('Переформатированный ответ'!$C$2:$C$172)),concat(TRIM(B81),TRIM(C81))) &gt; 0,"Есть","Нет")</f>
        <v>#NAME?</v>
      </c>
      <c r="M81" s="34" t="s">
        <v>773</v>
      </c>
      <c r="N81" s="34" t="s">
        <v>773</v>
      </c>
      <c r="O81" s="34" t="s">
        <v>773</v>
      </c>
      <c r="P81" s="34" t="s">
        <v>773</v>
      </c>
      <c r="Q81" s="34" t="s">
        <v>773</v>
      </c>
      <c r="R81" s="34" t="s">
        <v>773</v>
      </c>
      <c r="S81" s="34" t="s">
        <v>773</v>
      </c>
      <c r="T81" s="34" t="s">
        <v>773</v>
      </c>
      <c r="U81" s="34" t="s">
        <v>773</v>
      </c>
      <c r="V81" s="34" t="s">
        <v>773</v>
      </c>
      <c r="W81" s="34" t="s">
        <v>773</v>
      </c>
      <c r="X81" s="34" t="s">
        <v>773</v>
      </c>
      <c r="Y81" s="34" t="s">
        <v>773</v>
      </c>
      <c r="Z81" s="34" t="s">
        <v>773</v>
      </c>
      <c r="AA81" s="34" t="s">
        <v>773</v>
      </c>
      <c r="AB81" s="34" t="s">
        <v>773</v>
      </c>
      <c r="AC81" s="34" t="s">
        <v>773</v>
      </c>
      <c r="AD81" s="34" t="s">
        <v>773</v>
      </c>
      <c r="AE81" s="34" t="s">
        <v>773</v>
      </c>
      <c r="AF81" s="34" t="s">
        <v>773</v>
      </c>
    </row>
    <row r="82" customFormat="false" ht="15.75" hidden="false" customHeight="false" outlineLevel="0" collapsed="false">
      <c r="A82" s="2" t="n">
        <v>42877.6514351852</v>
      </c>
      <c r="B82" s="1" t="s">
        <v>1006</v>
      </c>
      <c r="C82" s="1" t="s">
        <v>903</v>
      </c>
      <c r="D82" s="1" t="n">
        <v>7</v>
      </c>
      <c r="E82" s="1" t="n">
        <v>117</v>
      </c>
      <c r="G82" s="3" t="s">
        <v>1007</v>
      </c>
      <c r="H82" s="1" t="s">
        <v>1008</v>
      </c>
      <c r="I82" s="1" t="s">
        <v>815</v>
      </c>
      <c r="J82" s="1" t="s">
        <v>827</v>
      </c>
      <c r="K82" s="1" t="n">
        <v>1</v>
      </c>
      <c r="L82" s="22" t="e">
        <f aca="false" t="array" ref="L82:L82">IF(COUNTIF(concat(TRIM('Переформатированный ответ'!$B$2:$B$172),TRIM('Переформатированный ответ'!$C$2:$C$172)),concat(TRIM(B82),TRIM(C82))) &gt; 0,"Есть","Нет")</f>
        <v>#NAME?</v>
      </c>
      <c r="M82" s="34" t="s">
        <v>797</v>
      </c>
      <c r="N82" s="34" t="s">
        <v>797</v>
      </c>
      <c r="O82" s="34" t="s">
        <v>797</v>
      </c>
      <c r="P82" s="34" t="s">
        <v>797</v>
      </c>
      <c r="Q82" s="34" t="s">
        <v>797</v>
      </c>
      <c r="R82" s="34" t="s">
        <v>797</v>
      </c>
      <c r="S82" s="34" t="s">
        <v>797</v>
      </c>
      <c r="T82" s="34" t="s">
        <v>797</v>
      </c>
      <c r="U82" s="34" t="s">
        <v>797</v>
      </c>
      <c r="V82" s="34" t="s">
        <v>797</v>
      </c>
      <c r="W82" s="34" t="s">
        <v>797</v>
      </c>
      <c r="X82" s="34" t="s">
        <v>797</v>
      </c>
      <c r="Y82" s="34" t="s">
        <v>797</v>
      </c>
      <c r="Z82" s="34" t="s">
        <v>797</v>
      </c>
      <c r="AA82" s="34" t="s">
        <v>797</v>
      </c>
      <c r="AB82" s="34" t="s">
        <v>797</v>
      </c>
      <c r="AC82" s="34" t="s">
        <v>797</v>
      </c>
      <c r="AD82" s="34" t="s">
        <v>797</v>
      </c>
      <c r="AE82" s="34" t="s">
        <v>797</v>
      </c>
      <c r="AF82" s="34" t="s">
        <v>797</v>
      </c>
    </row>
    <row r="83" customFormat="false" ht="15.75" hidden="false" customHeight="false" outlineLevel="0" collapsed="false">
      <c r="A83" s="2" t="n">
        <v>42877.7917824074</v>
      </c>
      <c r="B83" s="1" t="s">
        <v>1009</v>
      </c>
      <c r="C83" s="1" t="s">
        <v>31</v>
      </c>
      <c r="D83" s="1" t="n">
        <v>8</v>
      </c>
      <c r="E83" s="1" t="s">
        <v>1010</v>
      </c>
      <c r="G83" s="3" t="s">
        <v>1011</v>
      </c>
      <c r="H83" s="1" t="s">
        <v>1012</v>
      </c>
      <c r="I83" s="1" t="s">
        <v>784</v>
      </c>
      <c r="J83" s="1" t="s">
        <v>791</v>
      </c>
      <c r="K83" s="1" t="n">
        <v>2</v>
      </c>
      <c r="L83" s="22" t="e">
        <f aca="false" t="array" ref="L83:L83">IF(COUNTIF(concat(TRIM('Переформатированный ответ'!$B$2:$B$172),TRIM('Переформатированный ответ'!$C$2:$C$172)),concat(TRIM(B83),TRIM(C83))) &gt; 0,"Есть","Нет")</f>
        <v>#NAME?</v>
      </c>
      <c r="M83" s="34" t="s">
        <v>773</v>
      </c>
      <c r="N83" s="34" t="s">
        <v>773</v>
      </c>
      <c r="O83" s="34" t="s">
        <v>773</v>
      </c>
      <c r="P83" s="34" t="s">
        <v>773</v>
      </c>
      <c r="Q83" s="34" t="s">
        <v>773</v>
      </c>
      <c r="R83" s="34" t="s">
        <v>773</v>
      </c>
      <c r="S83" s="34" t="s">
        <v>773</v>
      </c>
      <c r="T83" s="34" t="s">
        <v>773</v>
      </c>
      <c r="U83" s="34" t="s">
        <v>797</v>
      </c>
      <c r="V83" s="34" t="s">
        <v>797</v>
      </c>
      <c r="W83" s="34" t="s">
        <v>773</v>
      </c>
      <c r="X83" s="34" t="s">
        <v>773</v>
      </c>
      <c r="Y83" s="34" t="s">
        <v>773</v>
      </c>
      <c r="Z83" s="34" t="s">
        <v>773</v>
      </c>
      <c r="AA83" s="34" t="s">
        <v>773</v>
      </c>
      <c r="AB83" s="34" t="s">
        <v>773</v>
      </c>
      <c r="AC83" s="34" t="s">
        <v>773</v>
      </c>
      <c r="AD83" s="34" t="s">
        <v>773</v>
      </c>
      <c r="AE83" s="34" t="s">
        <v>773</v>
      </c>
      <c r="AF83" s="34" t="s">
        <v>773</v>
      </c>
    </row>
    <row r="84" customFormat="false" ht="15.75" hidden="false" customHeight="false" outlineLevel="0" collapsed="false">
      <c r="A84" s="2" t="n">
        <v>42878.3559375</v>
      </c>
      <c r="B84" s="1" t="s">
        <v>1013</v>
      </c>
      <c r="C84" s="1" t="s">
        <v>53</v>
      </c>
      <c r="D84" s="1" t="n">
        <v>10</v>
      </c>
      <c r="E84" s="1" t="s">
        <v>82</v>
      </c>
      <c r="G84" s="3" t="s">
        <v>1014</v>
      </c>
      <c r="H84" s="1" t="s">
        <v>1015</v>
      </c>
      <c r="I84" s="1" t="s">
        <v>790</v>
      </c>
      <c r="J84" s="1" t="s">
        <v>791</v>
      </c>
      <c r="K84" s="1" t="n">
        <v>2</v>
      </c>
      <c r="L84" s="22" t="e">
        <f aca="false" t="array" ref="L84:L84">IF(COUNTIF(concat(TRIM('Переформатированный ответ'!$B$2:$B$172),TRIM('Переформатированный ответ'!$C$2:$C$172)),concat(TRIM(B84),TRIM(C84))) &gt; 0,"Есть","Нет")</f>
        <v>#NAME?</v>
      </c>
      <c r="M84" s="34" t="s">
        <v>773</v>
      </c>
      <c r="N84" s="34" t="s">
        <v>773</v>
      </c>
      <c r="O84" s="34" t="s">
        <v>773</v>
      </c>
      <c r="P84" s="34" t="s">
        <v>773</v>
      </c>
      <c r="Q84" s="34" t="s">
        <v>773</v>
      </c>
      <c r="R84" s="34" t="s">
        <v>773</v>
      </c>
      <c r="S84" s="34" t="s">
        <v>773</v>
      </c>
      <c r="T84" s="34" t="s">
        <v>773</v>
      </c>
      <c r="U84" s="34" t="s">
        <v>773</v>
      </c>
      <c r="V84" s="34" t="s">
        <v>773</v>
      </c>
      <c r="W84" s="34" t="s">
        <v>773</v>
      </c>
      <c r="X84" s="34" t="s">
        <v>773</v>
      </c>
      <c r="Y84" s="34" t="s">
        <v>773</v>
      </c>
      <c r="Z84" s="34" t="s">
        <v>773</v>
      </c>
      <c r="AA84" s="34" t="s">
        <v>773</v>
      </c>
      <c r="AB84" s="34" t="s">
        <v>773</v>
      </c>
      <c r="AC84" s="34" t="s">
        <v>773</v>
      </c>
      <c r="AD84" s="34" t="s">
        <v>773</v>
      </c>
      <c r="AE84" s="34" t="s">
        <v>773</v>
      </c>
      <c r="AF84" s="34" t="s">
        <v>773</v>
      </c>
    </row>
    <row r="85" customFormat="false" ht="15.75" hidden="false" customHeight="false" outlineLevel="0" collapsed="false">
      <c r="A85" s="2" t="n">
        <v>42879.7349189815</v>
      </c>
      <c r="B85" s="1" t="s">
        <v>1016</v>
      </c>
      <c r="C85" s="1" t="s">
        <v>161</v>
      </c>
      <c r="D85" s="1" t="n">
        <v>7</v>
      </c>
      <c r="E85" s="1" t="n">
        <v>117</v>
      </c>
      <c r="G85" s="1" t="s">
        <v>825</v>
      </c>
      <c r="H85" s="1" t="s">
        <v>1017</v>
      </c>
      <c r="I85" s="1" t="s">
        <v>827</v>
      </c>
      <c r="J85" s="1" t="s">
        <v>801</v>
      </c>
      <c r="K85" s="1" t="n">
        <v>1</v>
      </c>
      <c r="L85" s="22" t="e">
        <f aca="false" t="array" ref="L85:L85">IF(COUNTIF(concat(TRIM('Переформатированный ответ'!$B$2:$B$172),TRIM('Переформатированный ответ'!$C$2:$C$172)),concat(TRIM(B85),TRIM(C85))) &gt; 0,"Есть","Нет")</f>
        <v>#NAME?</v>
      </c>
      <c r="M85" s="34" t="s">
        <v>773</v>
      </c>
      <c r="N85" s="34" t="s">
        <v>773</v>
      </c>
      <c r="O85" s="34" t="s">
        <v>773</v>
      </c>
      <c r="P85" s="34" t="s">
        <v>773</v>
      </c>
      <c r="Q85" s="34" t="s">
        <v>773</v>
      </c>
      <c r="R85" s="34" t="s">
        <v>773</v>
      </c>
      <c r="S85" s="34" t="s">
        <v>773</v>
      </c>
      <c r="T85" s="34" t="s">
        <v>797</v>
      </c>
      <c r="U85" s="34" t="s">
        <v>773</v>
      </c>
      <c r="V85" s="34" t="s">
        <v>773</v>
      </c>
      <c r="W85" s="34" t="s">
        <v>773</v>
      </c>
      <c r="X85" s="34" t="s">
        <v>773</v>
      </c>
      <c r="Y85" s="34" t="s">
        <v>773</v>
      </c>
      <c r="Z85" s="34" t="s">
        <v>773</v>
      </c>
      <c r="AA85" s="34" t="s">
        <v>773</v>
      </c>
      <c r="AB85" s="34" t="s">
        <v>773</v>
      </c>
      <c r="AC85" s="34" t="s">
        <v>773</v>
      </c>
      <c r="AD85" s="34" t="s">
        <v>773</v>
      </c>
      <c r="AE85" s="34" t="s">
        <v>773</v>
      </c>
      <c r="AF85" s="34" t="s">
        <v>773</v>
      </c>
    </row>
    <row r="86" customFormat="false" ht="15.75" hidden="false" customHeight="false" outlineLevel="0" collapsed="false">
      <c r="A86" s="2" t="n">
        <v>42881.5740162037</v>
      </c>
      <c r="B86" s="1" t="s">
        <v>1018</v>
      </c>
      <c r="C86" s="1" t="s">
        <v>500</v>
      </c>
      <c r="D86" s="1" t="n">
        <v>10</v>
      </c>
      <c r="E86" s="1" t="s">
        <v>1019</v>
      </c>
      <c r="G86" s="3" t="s">
        <v>1020</v>
      </c>
      <c r="H86" s="1" t="s">
        <v>1021</v>
      </c>
      <c r="I86" s="1" t="s">
        <v>827</v>
      </c>
      <c r="J86" s="1" t="s">
        <v>784</v>
      </c>
      <c r="K86" s="1" t="n">
        <v>2</v>
      </c>
      <c r="L86" s="22" t="e">
        <f aca="false" t="array" ref="L86:L86">IF(COUNTIF(concat(TRIM('Переформатированный ответ'!$B$2:$B$172),TRIM('Переформатированный ответ'!$C$2:$C$172)),concat(TRIM(B86),TRIM(C86))) &gt; 0,"Есть","Нет")</f>
        <v>#NAME?</v>
      </c>
      <c r="M86" s="34" t="s">
        <v>797</v>
      </c>
      <c r="N86" s="34" t="s">
        <v>797</v>
      </c>
      <c r="O86" s="34" t="s">
        <v>797</v>
      </c>
      <c r="P86" s="34" t="s">
        <v>797</v>
      </c>
      <c r="Q86" s="34" t="s">
        <v>797</v>
      </c>
      <c r="R86" s="34" t="s">
        <v>797</v>
      </c>
      <c r="S86" s="34" t="s">
        <v>797</v>
      </c>
      <c r="T86" s="34" t="s">
        <v>797</v>
      </c>
      <c r="U86" s="34" t="s">
        <v>797</v>
      </c>
      <c r="V86" s="34" t="s">
        <v>797</v>
      </c>
      <c r="W86" s="34" t="s">
        <v>797</v>
      </c>
      <c r="X86" s="34" t="s">
        <v>797</v>
      </c>
      <c r="Y86" s="34" t="s">
        <v>797</v>
      </c>
      <c r="Z86" s="34" t="s">
        <v>797</v>
      </c>
      <c r="AA86" s="34" t="s">
        <v>797</v>
      </c>
      <c r="AB86" s="34" t="s">
        <v>797</v>
      </c>
      <c r="AC86" s="34" t="s">
        <v>797</v>
      </c>
      <c r="AD86" s="34" t="s">
        <v>797</v>
      </c>
      <c r="AE86" s="34"/>
      <c r="AF86" s="34"/>
    </row>
    <row r="87" customFormat="false" ht="15.75" hidden="false" customHeight="false" outlineLevel="0" collapsed="false">
      <c r="A87" s="2" t="n">
        <v>42882.369837963</v>
      </c>
      <c r="B87" s="1" t="s">
        <v>1022</v>
      </c>
      <c r="C87" s="1" t="s">
        <v>720</v>
      </c>
      <c r="D87" s="1" t="n">
        <v>8</v>
      </c>
      <c r="E87" s="1" t="s">
        <v>37</v>
      </c>
      <c r="G87" s="3" t="s">
        <v>1023</v>
      </c>
      <c r="H87" s="1" t="s">
        <v>1024</v>
      </c>
      <c r="I87" s="1" t="s">
        <v>783</v>
      </c>
      <c r="J87" s="1" t="s">
        <v>784</v>
      </c>
      <c r="K87" s="1" t="n">
        <v>2</v>
      </c>
      <c r="L87" s="22" t="e">
        <f aca="false" t="array" ref="L87:L87">IF(COUNTIF(concat(TRIM('Переформатированный ответ'!$B$2:$B$172),TRIM('Переформатированный ответ'!$C$2:$C$172)),concat(TRIM(B87),TRIM(C87))) &gt; 0,"Есть","Нет")</f>
        <v>#NAME?</v>
      </c>
      <c r="M87" s="34" t="s">
        <v>773</v>
      </c>
      <c r="N87" s="34" t="s">
        <v>773</v>
      </c>
      <c r="O87" s="34" t="s">
        <v>773</v>
      </c>
      <c r="P87" s="34" t="s">
        <v>773</v>
      </c>
      <c r="Q87" s="34" t="s">
        <v>797</v>
      </c>
      <c r="R87" s="34" t="s">
        <v>797</v>
      </c>
      <c r="S87" s="34" t="s">
        <v>797</v>
      </c>
      <c r="T87" s="34" t="s">
        <v>797</v>
      </c>
      <c r="U87" s="34" t="s">
        <v>773</v>
      </c>
      <c r="V87" s="34" t="s">
        <v>773</v>
      </c>
      <c r="W87" s="34" t="s">
        <v>773</v>
      </c>
      <c r="X87" s="34" t="s">
        <v>773</v>
      </c>
      <c r="Y87" s="34" t="s">
        <v>773</v>
      </c>
      <c r="Z87" s="34" t="s">
        <v>773</v>
      </c>
      <c r="AA87" s="34" t="s">
        <v>773</v>
      </c>
      <c r="AB87" s="34" t="s">
        <v>773</v>
      </c>
      <c r="AC87" s="34" t="s">
        <v>773</v>
      </c>
      <c r="AD87" s="34" t="s">
        <v>773</v>
      </c>
      <c r="AE87" s="34"/>
      <c r="AF87" s="34"/>
    </row>
    <row r="88" customFormat="false" ht="15.75" hidden="false" customHeight="false" outlineLevel="0" collapsed="false">
      <c r="A88" s="2" t="n">
        <v>42882.380474537</v>
      </c>
      <c r="B88" s="1" t="s">
        <v>1025</v>
      </c>
      <c r="C88" s="1" t="s">
        <v>537</v>
      </c>
      <c r="D88" s="1" t="n">
        <v>8</v>
      </c>
      <c r="E88" s="1" t="s">
        <v>37</v>
      </c>
      <c r="G88" s="3" t="s">
        <v>1026</v>
      </c>
      <c r="H88" s="1" t="s">
        <v>1027</v>
      </c>
      <c r="I88" s="1" t="s">
        <v>790</v>
      </c>
      <c r="J88" s="1" t="s">
        <v>815</v>
      </c>
      <c r="K88" s="1" t="n">
        <v>2</v>
      </c>
      <c r="L88" s="22" t="e">
        <f aca="false" t="array" ref="L88:L88">IF(COUNTIF(concat(TRIM('Переформатированный ответ'!$B$2:$B$172),TRIM('Переформатированный ответ'!$C$2:$C$172)),concat(TRIM(B88),TRIM(C88))) &gt; 0,"Есть","Нет")</f>
        <v>#NAME?</v>
      </c>
      <c r="M88" s="34" t="s">
        <v>797</v>
      </c>
      <c r="N88" s="34" t="s">
        <v>797</v>
      </c>
      <c r="O88" s="34" t="s">
        <v>797</v>
      </c>
      <c r="P88" s="34" t="s">
        <v>797</v>
      </c>
      <c r="Q88" s="34" t="s">
        <v>797</v>
      </c>
      <c r="R88" s="34" t="s">
        <v>797</v>
      </c>
      <c r="S88" s="34" t="s">
        <v>797</v>
      </c>
      <c r="T88" s="34" t="s">
        <v>797</v>
      </c>
      <c r="U88" s="34" t="s">
        <v>797</v>
      </c>
      <c r="V88" s="34" t="s">
        <v>797</v>
      </c>
      <c r="W88" s="34" t="s">
        <v>797</v>
      </c>
      <c r="X88" s="34" t="s">
        <v>797</v>
      </c>
      <c r="Y88" s="34" t="s">
        <v>797</v>
      </c>
      <c r="Z88" s="34" t="s">
        <v>797</v>
      </c>
      <c r="AA88" s="34" t="s">
        <v>797</v>
      </c>
      <c r="AB88" s="34" t="s">
        <v>797</v>
      </c>
      <c r="AC88" s="34" t="s">
        <v>797</v>
      </c>
      <c r="AD88" s="34" t="s">
        <v>797</v>
      </c>
      <c r="AE88" s="34" t="s">
        <v>797</v>
      </c>
      <c r="AF88" s="34" t="s">
        <v>797</v>
      </c>
    </row>
    <row r="89" customFormat="false" ht="15.75" hidden="false" customHeight="false" outlineLevel="0" collapsed="false">
      <c r="A89" s="2" t="n">
        <v>42882.7837962963</v>
      </c>
      <c r="B89" s="1" t="s">
        <v>66</v>
      </c>
      <c r="C89" s="1" t="s">
        <v>67</v>
      </c>
      <c r="D89" s="1" t="n">
        <v>10</v>
      </c>
      <c r="E89" s="1" t="s">
        <v>82</v>
      </c>
      <c r="G89" s="3" t="s">
        <v>1028</v>
      </c>
      <c r="H89" s="1" t="s">
        <v>69</v>
      </c>
      <c r="I89" s="1" t="s">
        <v>790</v>
      </c>
      <c r="J89" s="1" t="s">
        <v>791</v>
      </c>
      <c r="K89" s="1" t="n">
        <v>2</v>
      </c>
      <c r="L89" s="22" t="e">
        <f aca="false" t="array" ref="L89:L89">IF(COUNTIF(concat(TRIM('Переформатированный ответ'!$B$2:$B$172),TRIM('Переформатированный ответ'!$C$2:$C$172)),concat(TRIM(B89),TRIM(C89))) &gt; 0,"Есть","Нет")</f>
        <v>#NAME?</v>
      </c>
      <c r="M89" s="34" t="s">
        <v>797</v>
      </c>
      <c r="N89" s="34" t="s">
        <v>797</v>
      </c>
      <c r="O89" s="34" t="s">
        <v>797</v>
      </c>
      <c r="P89" s="34" t="s">
        <v>797</v>
      </c>
      <c r="Q89" s="34" t="s">
        <v>773</v>
      </c>
      <c r="R89" s="34" t="s">
        <v>773</v>
      </c>
      <c r="S89" s="34" t="s">
        <v>773</v>
      </c>
      <c r="T89" s="34" t="s">
        <v>773</v>
      </c>
      <c r="U89" s="34" t="s">
        <v>773</v>
      </c>
      <c r="V89" s="34" t="s">
        <v>773</v>
      </c>
      <c r="W89" s="34" t="s">
        <v>773</v>
      </c>
      <c r="X89" s="34" t="s">
        <v>773</v>
      </c>
      <c r="Y89" s="34" t="s">
        <v>773</v>
      </c>
      <c r="Z89" s="34" t="s">
        <v>773</v>
      </c>
      <c r="AA89" s="34" t="s">
        <v>797</v>
      </c>
      <c r="AB89" s="34" t="s">
        <v>797</v>
      </c>
      <c r="AC89" s="34" t="s">
        <v>773</v>
      </c>
      <c r="AD89" s="34" t="s">
        <v>773</v>
      </c>
      <c r="AE89" s="34" t="s">
        <v>773</v>
      </c>
      <c r="AF89" s="34" t="s">
        <v>773</v>
      </c>
    </row>
    <row r="90" customFormat="false" ht="15.75" hidden="false" customHeight="false" outlineLevel="0" collapsed="false">
      <c r="A90" s="2" t="n">
        <v>42882.8283796296</v>
      </c>
      <c r="B90" s="1" t="s">
        <v>236</v>
      </c>
      <c r="C90" s="1" t="s">
        <v>237</v>
      </c>
      <c r="D90" s="1" t="n">
        <v>10</v>
      </c>
      <c r="E90" s="1" t="s">
        <v>328</v>
      </c>
      <c r="G90" s="3" t="s">
        <v>1029</v>
      </c>
      <c r="H90" s="1" t="s">
        <v>239</v>
      </c>
      <c r="I90" s="1" t="s">
        <v>791</v>
      </c>
      <c r="J90" s="1" t="s">
        <v>801</v>
      </c>
      <c r="K90" s="1" t="n">
        <v>2</v>
      </c>
      <c r="L90" s="22" t="e">
        <f aca="false" t="array" ref="L90:L90">IF(COUNTIF(concat(TRIM('Переформатированный ответ'!$B$2:$B$172),TRIM('Переформатированный ответ'!$C$2:$C$172)),concat(TRIM(B90),TRIM(C90))) &gt; 0,"Есть","Нет")</f>
        <v>#NAME?</v>
      </c>
      <c r="M90" s="34" t="s">
        <v>773</v>
      </c>
      <c r="N90" s="34" t="s">
        <v>773</v>
      </c>
      <c r="O90" s="34" t="s">
        <v>773</v>
      </c>
      <c r="P90" s="34" t="s">
        <v>773</v>
      </c>
      <c r="Q90" s="34" t="s">
        <v>773</v>
      </c>
      <c r="R90" s="34" t="s">
        <v>773</v>
      </c>
      <c r="S90" s="34" t="s">
        <v>773</v>
      </c>
      <c r="T90" s="34" t="s">
        <v>773</v>
      </c>
      <c r="U90" s="34" t="s">
        <v>773</v>
      </c>
      <c r="V90" s="34" t="s">
        <v>773</v>
      </c>
      <c r="W90" s="34" t="s">
        <v>773</v>
      </c>
      <c r="X90" s="34" t="s">
        <v>773</v>
      </c>
      <c r="Y90" s="34" t="s">
        <v>797</v>
      </c>
      <c r="Z90" s="34" t="s">
        <v>797</v>
      </c>
      <c r="AA90" s="34" t="s">
        <v>773</v>
      </c>
      <c r="AB90" s="34" t="s">
        <v>773</v>
      </c>
      <c r="AC90" s="34" t="s">
        <v>773</v>
      </c>
      <c r="AD90" s="34" t="s">
        <v>773</v>
      </c>
      <c r="AE90" s="34" t="s">
        <v>773</v>
      </c>
      <c r="AF90" s="34" t="s">
        <v>773</v>
      </c>
    </row>
    <row r="91" customFormat="false" ht="15.75" hidden="false" customHeight="false" outlineLevel="0" collapsed="false">
      <c r="A91" s="2" t="n">
        <v>42882.8894097222</v>
      </c>
      <c r="B91" s="1" t="s">
        <v>1030</v>
      </c>
      <c r="C91" s="1" t="s">
        <v>769</v>
      </c>
      <c r="D91" s="1" t="n">
        <v>10</v>
      </c>
      <c r="E91" s="1" t="s">
        <v>369</v>
      </c>
      <c r="G91" s="3" t="s">
        <v>1031</v>
      </c>
      <c r="H91" s="1" t="s">
        <v>1032</v>
      </c>
      <c r="I91" s="1" t="s">
        <v>790</v>
      </c>
      <c r="J91" s="1" t="s">
        <v>801</v>
      </c>
      <c r="K91" s="1" t="n">
        <v>2</v>
      </c>
      <c r="L91" s="22" t="e">
        <f aca="false" t="array" ref="L91:L91">IF(COUNTIF(concat(TRIM('Переформатированный ответ'!$B$2:$B$172),TRIM('Переформатированный ответ'!$C$2:$C$172)),concat(TRIM(B91),TRIM(C91))) &gt; 0,"Есть","Нет")</f>
        <v>#NAME?</v>
      </c>
      <c r="M91" s="34" t="s">
        <v>773</v>
      </c>
      <c r="N91" s="34" t="s">
        <v>773</v>
      </c>
      <c r="O91" s="34" t="s">
        <v>773</v>
      </c>
      <c r="P91" s="34" t="s">
        <v>773</v>
      </c>
      <c r="Q91" s="34" t="s">
        <v>797</v>
      </c>
      <c r="R91" s="34" t="s">
        <v>797</v>
      </c>
      <c r="S91" s="34" t="s">
        <v>797</v>
      </c>
      <c r="T91" s="34" t="s">
        <v>797</v>
      </c>
      <c r="U91" s="34" t="s">
        <v>797</v>
      </c>
      <c r="V91" s="34" t="s">
        <v>797</v>
      </c>
      <c r="W91" s="34" t="s">
        <v>797</v>
      </c>
      <c r="X91" s="34" t="s">
        <v>797</v>
      </c>
      <c r="Y91" s="34" t="s">
        <v>797</v>
      </c>
      <c r="Z91" s="34" t="s">
        <v>797</v>
      </c>
      <c r="AA91" s="34" t="s">
        <v>797</v>
      </c>
      <c r="AB91" s="34" t="s">
        <v>797</v>
      </c>
      <c r="AC91" s="34" t="s">
        <v>797</v>
      </c>
      <c r="AD91" s="34" t="s">
        <v>797</v>
      </c>
      <c r="AE91" s="34" t="s">
        <v>797</v>
      </c>
      <c r="AF91" s="34" t="s">
        <v>797</v>
      </c>
    </row>
    <row r="92" customFormat="false" ht="15.75" hidden="false" customHeight="false" outlineLevel="0" collapsed="false">
      <c r="A92" s="2" t="n">
        <v>42883.3866782407</v>
      </c>
      <c r="B92" s="1" t="s">
        <v>1033</v>
      </c>
      <c r="C92" s="1" t="s">
        <v>395</v>
      </c>
      <c r="D92" s="1" t="n">
        <v>7</v>
      </c>
      <c r="E92" s="1" t="s">
        <v>792</v>
      </c>
      <c r="F92" s="1" t="s">
        <v>1034</v>
      </c>
      <c r="G92" s="3" t="s">
        <v>1035</v>
      </c>
      <c r="H92" s="1" t="s">
        <v>1036</v>
      </c>
      <c r="I92" s="1" t="s">
        <v>784</v>
      </c>
      <c r="J92" s="1" t="s">
        <v>827</v>
      </c>
      <c r="K92" s="1" t="n">
        <v>2</v>
      </c>
      <c r="L92" s="22" t="e">
        <f aca="false" t="array" ref="L92:L92">IF(COUNTIF(concat(TRIM('Переформатированный ответ'!$B$2:$B$172),TRIM('Переформатированный ответ'!$C$2:$C$172)),concat(TRIM(B92),TRIM(C92))) &gt; 0,"Есть","Нет")</f>
        <v>#NAME?</v>
      </c>
      <c r="M92" s="34" t="s">
        <v>797</v>
      </c>
      <c r="N92" s="34" t="s">
        <v>797</v>
      </c>
      <c r="O92" s="34" t="s">
        <v>797</v>
      </c>
      <c r="P92" s="34" t="s">
        <v>797</v>
      </c>
      <c r="Q92" s="34" t="s">
        <v>797</v>
      </c>
      <c r="R92" s="34" t="s">
        <v>797</v>
      </c>
      <c r="S92" s="34" t="s">
        <v>797</v>
      </c>
      <c r="T92" s="34" t="s">
        <v>797</v>
      </c>
      <c r="U92" s="34" t="s">
        <v>797</v>
      </c>
      <c r="V92" s="34" t="s">
        <v>797</v>
      </c>
      <c r="W92" s="34" t="s">
        <v>797</v>
      </c>
      <c r="X92" s="34" t="s">
        <v>797</v>
      </c>
      <c r="Y92" s="34" t="s">
        <v>797</v>
      </c>
      <c r="Z92" s="34" t="s">
        <v>797</v>
      </c>
      <c r="AA92" s="34" t="s">
        <v>797</v>
      </c>
      <c r="AB92" s="34" t="s">
        <v>797</v>
      </c>
      <c r="AC92" s="34" t="s">
        <v>797</v>
      </c>
      <c r="AD92" s="34" t="s">
        <v>797</v>
      </c>
      <c r="AE92" s="34" t="s">
        <v>797</v>
      </c>
      <c r="AF92" s="34" t="s">
        <v>797</v>
      </c>
    </row>
    <row r="93" customFormat="false" ht="15.75" hidden="false" customHeight="false" outlineLevel="0" collapsed="false">
      <c r="A93" s="2" t="n">
        <v>42883.5582638889</v>
      </c>
      <c r="B93" s="1" t="s">
        <v>1037</v>
      </c>
      <c r="C93" s="1" t="s">
        <v>403</v>
      </c>
      <c r="D93" s="1" t="n">
        <v>8</v>
      </c>
      <c r="E93" s="1" t="s">
        <v>1038</v>
      </c>
      <c r="G93" s="3" t="s">
        <v>1039</v>
      </c>
      <c r="H93" s="1" t="s">
        <v>43</v>
      </c>
      <c r="I93" s="1" t="s">
        <v>790</v>
      </c>
      <c r="J93" s="1" t="s">
        <v>801</v>
      </c>
      <c r="K93" s="1" t="n">
        <v>2</v>
      </c>
      <c r="L93" s="22" t="e">
        <f aca="false" t="array" ref="L93:L93">IF(COUNTIF(concat(TRIM('Переформатированный ответ'!$B$2:$B$172),TRIM('Переформатированный ответ'!$C$2:$C$172)),concat(TRIM(B93),TRIM(C93))) &gt; 0,"Есть","Нет")</f>
        <v>#NAME?</v>
      </c>
      <c r="M93" s="34" t="s">
        <v>773</v>
      </c>
      <c r="N93" s="34" t="s">
        <v>773</v>
      </c>
      <c r="O93" s="34" t="s">
        <v>797</v>
      </c>
      <c r="P93" s="34" t="s">
        <v>797</v>
      </c>
      <c r="Q93" s="34" t="s">
        <v>797</v>
      </c>
      <c r="R93" s="34" t="s">
        <v>797</v>
      </c>
      <c r="S93" s="34" t="s">
        <v>797</v>
      </c>
      <c r="T93" s="34" t="s">
        <v>797</v>
      </c>
      <c r="U93" s="34" t="s">
        <v>797</v>
      </c>
      <c r="V93" s="34" t="s">
        <v>797</v>
      </c>
      <c r="W93" s="34" t="s">
        <v>797</v>
      </c>
      <c r="X93" s="34" t="s">
        <v>797</v>
      </c>
      <c r="Y93" s="34" t="s">
        <v>797</v>
      </c>
      <c r="Z93" s="34" t="s">
        <v>797</v>
      </c>
      <c r="AA93" s="34" t="s">
        <v>797</v>
      </c>
      <c r="AB93" s="34" t="s">
        <v>797</v>
      </c>
      <c r="AC93" s="34" t="s">
        <v>797</v>
      </c>
      <c r="AD93" s="34" t="s">
        <v>797</v>
      </c>
      <c r="AE93" s="34" t="s">
        <v>797</v>
      </c>
      <c r="AF93" s="34" t="s">
        <v>797</v>
      </c>
    </row>
    <row r="94" customFormat="false" ht="15.75" hidden="false" customHeight="false" outlineLevel="0" collapsed="false">
      <c r="A94" s="2" t="n">
        <v>42884.4530902778</v>
      </c>
      <c r="B94" s="1" t="s">
        <v>86</v>
      </c>
      <c r="C94" s="1" t="s">
        <v>87</v>
      </c>
      <c r="D94" s="1" t="n">
        <v>7</v>
      </c>
      <c r="E94" s="1" t="s">
        <v>1040</v>
      </c>
      <c r="F94" s="1" t="s">
        <v>1041</v>
      </c>
      <c r="G94" s="3" t="s">
        <v>89</v>
      </c>
      <c r="H94" s="1" t="s">
        <v>90</v>
      </c>
      <c r="I94" s="1" t="s">
        <v>795</v>
      </c>
      <c r="J94" s="1" t="s">
        <v>827</v>
      </c>
      <c r="K94" s="1" t="n">
        <v>2</v>
      </c>
      <c r="L94" s="22" t="e">
        <f aca="false" t="array" ref="L94:L94">IF(COUNTIF(concat(TRIM('Переформатированный ответ'!$B$2:$B$172),TRIM('Переформатированный ответ'!$C$2:$C$172)),concat(TRIM(B94),TRIM(C94))) &gt; 0,"Есть","Нет")</f>
        <v>#NAME?</v>
      </c>
      <c r="M94" s="34" t="s">
        <v>797</v>
      </c>
      <c r="N94" s="34" t="s">
        <v>797</v>
      </c>
      <c r="O94" s="34" t="s">
        <v>797</v>
      </c>
      <c r="P94" s="34" t="s">
        <v>797</v>
      </c>
      <c r="Q94" s="34" t="s">
        <v>797</v>
      </c>
      <c r="R94" s="34" t="s">
        <v>797</v>
      </c>
      <c r="S94" s="34" t="s">
        <v>797</v>
      </c>
      <c r="T94" s="34" t="s">
        <v>797</v>
      </c>
      <c r="U94" s="34" t="s">
        <v>797</v>
      </c>
      <c r="V94" s="34" t="s">
        <v>797</v>
      </c>
      <c r="W94" s="34" t="s">
        <v>773</v>
      </c>
      <c r="X94" s="34" t="s">
        <v>773</v>
      </c>
      <c r="Y94" s="34" t="s">
        <v>773</v>
      </c>
      <c r="Z94" s="34" t="s">
        <v>773</v>
      </c>
      <c r="AA94" s="34" t="s">
        <v>773</v>
      </c>
      <c r="AB94" s="34" t="s">
        <v>773</v>
      </c>
      <c r="AC94" s="34" t="s">
        <v>797</v>
      </c>
      <c r="AD94" s="34" t="s">
        <v>797</v>
      </c>
      <c r="AE94" s="34" t="s">
        <v>797</v>
      </c>
      <c r="AF94" s="34" t="s">
        <v>797</v>
      </c>
    </row>
    <row r="95" customFormat="false" ht="15.75" hidden="false" customHeight="false" outlineLevel="0" collapsed="false">
      <c r="A95" s="2" t="n">
        <v>42884.473900463</v>
      </c>
      <c r="B95" s="1" t="s">
        <v>280</v>
      </c>
      <c r="C95" s="1" t="s">
        <v>281</v>
      </c>
      <c r="D95" s="1" t="n">
        <v>7</v>
      </c>
      <c r="E95" s="1" t="n">
        <v>146</v>
      </c>
      <c r="G95" s="3" t="s">
        <v>1042</v>
      </c>
      <c r="H95" s="1" t="s">
        <v>284</v>
      </c>
      <c r="I95" s="1" t="s">
        <v>790</v>
      </c>
      <c r="J95" s="1" t="s">
        <v>801</v>
      </c>
      <c r="K95" s="1" t="n">
        <v>2</v>
      </c>
      <c r="L95" s="22" t="e">
        <f aca="false" t="array" ref="L95:L95">IF(COUNTIF(concat(TRIM('Переформатированный ответ'!$B$2:$B$172),TRIM('Переформатированный ответ'!$C$2:$C$172)),concat(TRIM(B95),TRIM(C95))) &gt; 0,"Есть","Нет")</f>
        <v>#NAME?</v>
      </c>
      <c r="M95" s="34" t="s">
        <v>773</v>
      </c>
      <c r="N95" s="34" t="s">
        <v>773</v>
      </c>
      <c r="O95" s="34" t="s">
        <v>773</v>
      </c>
      <c r="P95" s="34" t="s">
        <v>773</v>
      </c>
      <c r="Q95" s="34" t="s">
        <v>773</v>
      </c>
      <c r="R95" s="34" t="s">
        <v>773</v>
      </c>
      <c r="S95" s="34" t="s">
        <v>773</v>
      </c>
      <c r="T95" s="34" t="s">
        <v>773</v>
      </c>
      <c r="U95" s="34" t="s">
        <v>773</v>
      </c>
      <c r="V95" s="34" t="s">
        <v>773</v>
      </c>
      <c r="W95" s="34" t="s">
        <v>773</v>
      </c>
      <c r="X95" s="34" t="s">
        <v>773</v>
      </c>
      <c r="Y95" s="34" t="s">
        <v>773</v>
      </c>
      <c r="Z95" s="34" t="s">
        <v>773</v>
      </c>
      <c r="AA95" s="34" t="s">
        <v>773</v>
      </c>
      <c r="AB95" s="34" t="s">
        <v>773</v>
      </c>
      <c r="AC95" s="34" t="s">
        <v>773</v>
      </c>
      <c r="AD95" s="34" t="s">
        <v>773</v>
      </c>
      <c r="AE95" s="34" t="s">
        <v>773</v>
      </c>
      <c r="AF95" s="34" t="s">
        <v>773</v>
      </c>
    </row>
    <row r="96" customFormat="false" ht="15.75" hidden="false" customHeight="false" outlineLevel="0" collapsed="false">
      <c r="A96" s="2" t="n">
        <v>42884.6575925926</v>
      </c>
      <c r="B96" s="1" t="s">
        <v>574</v>
      </c>
      <c r="C96" s="1" t="s">
        <v>395</v>
      </c>
      <c r="D96" s="1" t="n">
        <v>5</v>
      </c>
      <c r="E96" s="1" t="s">
        <v>1043</v>
      </c>
      <c r="G96" s="3" t="s">
        <v>1044</v>
      </c>
      <c r="H96" s="1" t="s">
        <v>577</v>
      </c>
      <c r="I96" s="1" t="s">
        <v>791</v>
      </c>
      <c r="K96" s="1" t="n">
        <v>2</v>
      </c>
      <c r="L96" s="22" t="e">
        <f aca="false" t="array" ref="L96:L96">IF(COUNTIF(concat(TRIM('Переформатированный ответ'!$B$2:$B$172),TRIM('Переформатированный ответ'!$C$2:$C$172)),concat(TRIM(B96),TRIM(C96))) &gt; 0,"Есть","Нет")</f>
        <v>#NAME?</v>
      </c>
      <c r="M96" s="34" t="s">
        <v>797</v>
      </c>
      <c r="N96" s="34" t="s">
        <v>797</v>
      </c>
      <c r="O96" s="34" t="s">
        <v>797</v>
      </c>
      <c r="P96" s="34" t="s">
        <v>797</v>
      </c>
      <c r="Q96" s="34" t="s">
        <v>773</v>
      </c>
      <c r="R96" s="34" t="s">
        <v>773</v>
      </c>
      <c r="S96" s="34" t="s">
        <v>773</v>
      </c>
      <c r="T96" s="34" t="s">
        <v>773</v>
      </c>
      <c r="U96" s="34" t="s">
        <v>773</v>
      </c>
      <c r="V96" s="34" t="s">
        <v>773</v>
      </c>
      <c r="W96" s="34"/>
      <c r="X96" s="34"/>
      <c r="Y96" s="34"/>
      <c r="Z96" s="34"/>
      <c r="AA96" s="34"/>
      <c r="AB96" s="34"/>
      <c r="AC96" s="34"/>
      <c r="AD96" s="34"/>
      <c r="AE96" s="34"/>
      <c r="AF96" s="34"/>
    </row>
    <row r="97" customFormat="false" ht="15.75" hidden="false" customHeight="false" outlineLevel="0" collapsed="false">
      <c r="A97" s="2" t="n">
        <v>42884.7318055556</v>
      </c>
      <c r="B97" s="1" t="s">
        <v>394</v>
      </c>
      <c r="C97" s="1" t="s">
        <v>395</v>
      </c>
      <c r="D97" s="1" t="n">
        <v>7</v>
      </c>
      <c r="E97" s="1" t="s">
        <v>37</v>
      </c>
      <c r="G97" s="3" t="s">
        <v>1045</v>
      </c>
      <c r="H97" s="1" t="s">
        <v>1046</v>
      </c>
      <c r="I97" s="1" t="s">
        <v>815</v>
      </c>
      <c r="J97" s="1" t="s">
        <v>801</v>
      </c>
      <c r="K97" s="1" t="n">
        <v>2</v>
      </c>
      <c r="L97" s="22" t="e">
        <f aca="false" t="array" ref="L97:L97">IF(COUNTIF(concat(TRIM('Переформатированный ответ'!$B$2:$B$172),TRIM('Переформатированный ответ'!$C$2:$C$172)),concat(TRIM(B97),TRIM(C97))) &gt; 0,"Есть","Нет")</f>
        <v>#NAME?</v>
      </c>
      <c r="M97" s="34" t="s">
        <v>773</v>
      </c>
      <c r="N97" s="34" t="s">
        <v>773</v>
      </c>
      <c r="O97" s="34" t="s">
        <v>773</v>
      </c>
      <c r="P97" s="34" t="s">
        <v>773</v>
      </c>
      <c r="Q97" s="34" t="s">
        <v>797</v>
      </c>
      <c r="R97" s="34" t="s">
        <v>797</v>
      </c>
      <c r="S97" s="34" t="s">
        <v>773</v>
      </c>
      <c r="T97" s="34" t="s">
        <v>773</v>
      </c>
      <c r="U97" s="34" t="s">
        <v>773</v>
      </c>
      <c r="V97" s="34" t="s">
        <v>773</v>
      </c>
      <c r="W97" s="34" t="s">
        <v>773</v>
      </c>
      <c r="X97" s="34" t="s">
        <v>773</v>
      </c>
      <c r="Y97" s="34" t="s">
        <v>773</v>
      </c>
      <c r="Z97" s="34" t="s">
        <v>773</v>
      </c>
      <c r="AA97" s="34" t="s">
        <v>773</v>
      </c>
      <c r="AB97" s="34" t="s">
        <v>773</v>
      </c>
      <c r="AC97" s="34" t="s">
        <v>773</v>
      </c>
      <c r="AD97" s="34" t="s">
        <v>773</v>
      </c>
      <c r="AE97" s="34" t="s">
        <v>773</v>
      </c>
      <c r="AF97" s="34" t="s">
        <v>773</v>
      </c>
    </row>
    <row r="98" customFormat="false" ht="15.75" hidden="false" customHeight="false" outlineLevel="0" collapsed="false">
      <c r="A98" s="2" t="n">
        <v>42885.2685069444</v>
      </c>
      <c r="B98" s="1" t="s">
        <v>416</v>
      </c>
      <c r="C98" s="1" t="s">
        <v>251</v>
      </c>
      <c r="D98" s="1" t="n">
        <v>8</v>
      </c>
      <c r="E98" s="1" t="s">
        <v>417</v>
      </c>
      <c r="G98" s="3" t="s">
        <v>419</v>
      </c>
      <c r="H98" s="1" t="s">
        <v>420</v>
      </c>
      <c r="I98" s="1" t="s">
        <v>783</v>
      </c>
      <c r="J98" s="1" t="s">
        <v>796</v>
      </c>
      <c r="K98" s="1" t="n">
        <v>2</v>
      </c>
      <c r="L98" s="22" t="e">
        <f aca="false" t="array" ref="L98:L98">IF(COUNTIF(concat(TRIM('Переформатированный ответ'!$B$2:$B$172),TRIM('Переформатированный ответ'!$C$2:$C$172)),concat(TRIM(B98),TRIM(C98))) &gt; 0,"Есть","Нет")</f>
        <v>#NAME?</v>
      </c>
      <c r="M98" s="34" t="s">
        <v>773</v>
      </c>
      <c r="N98" s="34" t="s">
        <v>773</v>
      </c>
      <c r="O98" s="34" t="s">
        <v>773</v>
      </c>
      <c r="P98" s="34" t="s">
        <v>773</v>
      </c>
      <c r="Q98" s="34" t="s">
        <v>773</v>
      </c>
      <c r="R98" s="34" t="s">
        <v>773</v>
      </c>
      <c r="S98" s="34" t="s">
        <v>773</v>
      </c>
      <c r="T98" s="34" t="s">
        <v>773</v>
      </c>
      <c r="U98" s="34" t="s">
        <v>773</v>
      </c>
      <c r="V98" s="34" t="s">
        <v>773</v>
      </c>
      <c r="W98" s="34" t="s">
        <v>797</v>
      </c>
      <c r="X98" s="34" t="s">
        <v>797</v>
      </c>
      <c r="Y98" s="34" t="s">
        <v>773</v>
      </c>
      <c r="Z98" s="34" t="s">
        <v>773</v>
      </c>
      <c r="AA98" s="34" t="s">
        <v>773</v>
      </c>
      <c r="AB98" s="34" t="s">
        <v>773</v>
      </c>
      <c r="AC98" s="34" t="s">
        <v>773</v>
      </c>
      <c r="AD98" s="34" t="s">
        <v>773</v>
      </c>
      <c r="AE98" s="34" t="s">
        <v>773</v>
      </c>
      <c r="AF98" s="34" t="s">
        <v>773</v>
      </c>
    </row>
    <row r="99" customFormat="false" ht="15.75" hidden="false" customHeight="false" outlineLevel="0" collapsed="false">
      <c r="A99" s="2" t="n">
        <v>42885.3605671296</v>
      </c>
      <c r="B99" s="1" t="s">
        <v>247</v>
      </c>
      <c r="C99" s="1" t="s">
        <v>195</v>
      </c>
      <c r="D99" s="1" t="n">
        <v>7</v>
      </c>
      <c r="E99" s="1" t="n">
        <v>117</v>
      </c>
      <c r="G99" s="3" t="s">
        <v>248</v>
      </c>
      <c r="H99" s="1" t="s">
        <v>526</v>
      </c>
      <c r="I99" s="1" t="s">
        <v>784</v>
      </c>
      <c r="J99" s="1" t="s">
        <v>791</v>
      </c>
      <c r="K99" s="1" t="n">
        <v>1</v>
      </c>
      <c r="L99" s="22" t="e">
        <f aca="false" t="array" ref="L99:L99">IF(COUNTIF(concat(TRIM('Переформатированный ответ'!$B$2:$B$172),TRIM('Переформатированный ответ'!$C$2:$C$172)),concat(TRIM(B99),TRIM(C99))) &gt; 0,"Есть","Нет")</f>
        <v>#NAME?</v>
      </c>
      <c r="M99" s="34" t="s">
        <v>773</v>
      </c>
      <c r="N99" s="34" t="s">
        <v>773</v>
      </c>
      <c r="O99" s="34" t="s">
        <v>773</v>
      </c>
      <c r="P99" s="34" t="s">
        <v>773</v>
      </c>
      <c r="Q99" s="34" t="s">
        <v>773</v>
      </c>
      <c r="R99" s="34" t="s">
        <v>773</v>
      </c>
      <c r="S99" s="34" t="s">
        <v>773</v>
      </c>
      <c r="T99" s="34" t="s">
        <v>773</v>
      </c>
      <c r="U99" s="34" t="s">
        <v>773</v>
      </c>
      <c r="V99" s="34" t="s">
        <v>773</v>
      </c>
      <c r="W99" s="34" t="s">
        <v>773</v>
      </c>
      <c r="X99" s="34" t="s">
        <v>773</v>
      </c>
      <c r="Y99" s="34" t="s">
        <v>773</v>
      </c>
      <c r="Z99" s="34" t="s">
        <v>773</v>
      </c>
      <c r="AA99" s="34" t="s">
        <v>797</v>
      </c>
      <c r="AB99" s="34" t="s">
        <v>773</v>
      </c>
      <c r="AC99" s="34" t="s">
        <v>773</v>
      </c>
      <c r="AD99" s="34" t="s">
        <v>773</v>
      </c>
      <c r="AE99" s="34" t="s">
        <v>773</v>
      </c>
      <c r="AF99" s="34" t="s">
        <v>773</v>
      </c>
    </row>
    <row r="100" customFormat="false" ht="15.75" hidden="false" customHeight="false" outlineLevel="0" collapsed="false">
      <c r="A100" s="2" t="n">
        <v>42885.431712963</v>
      </c>
      <c r="B100" s="1" t="s">
        <v>1047</v>
      </c>
      <c r="C100" s="1" t="s">
        <v>115</v>
      </c>
      <c r="D100" s="1" t="n">
        <v>10</v>
      </c>
      <c r="E100" s="1" t="n">
        <v>107</v>
      </c>
      <c r="G100" s="3" t="s">
        <v>1048</v>
      </c>
      <c r="H100" s="1" t="s">
        <v>1049</v>
      </c>
      <c r="I100" s="1" t="s">
        <v>827</v>
      </c>
      <c r="J100" s="1" t="s">
        <v>784</v>
      </c>
      <c r="K100" s="1" t="n">
        <v>2</v>
      </c>
      <c r="L100" s="22" t="e">
        <f aca="false" t="array" ref="L100:L100">IF(COUNTIF(concat(TRIM('Переформатированный ответ'!$B$2:$B$172),TRIM('Переформатированный ответ'!$C$2:$C$172)),concat(TRIM(B100),TRIM(C100))) &gt; 0,"Есть","Нет")</f>
        <v>#NAME?</v>
      </c>
      <c r="M100" s="34" t="s">
        <v>773</v>
      </c>
      <c r="N100" s="34" t="s">
        <v>773</v>
      </c>
      <c r="O100" s="34" t="s">
        <v>773</v>
      </c>
      <c r="P100" s="34" t="s">
        <v>773</v>
      </c>
      <c r="Q100" s="34" t="s">
        <v>773</v>
      </c>
      <c r="R100" s="34" t="s">
        <v>773</v>
      </c>
      <c r="S100" s="34" t="s">
        <v>773</v>
      </c>
      <c r="T100" s="34" t="s">
        <v>773</v>
      </c>
      <c r="U100" s="34" t="s">
        <v>773</v>
      </c>
      <c r="V100" s="34" t="s">
        <v>773</v>
      </c>
      <c r="W100" s="34" t="s">
        <v>773</v>
      </c>
      <c r="X100" s="34" t="s">
        <v>773</v>
      </c>
      <c r="Y100" s="34" t="s">
        <v>773</v>
      </c>
      <c r="Z100" s="34" t="s">
        <v>773</v>
      </c>
      <c r="AA100" s="34" t="s">
        <v>773</v>
      </c>
      <c r="AB100" s="34" t="s">
        <v>773</v>
      </c>
      <c r="AC100" s="34" t="s">
        <v>773</v>
      </c>
      <c r="AD100" s="34" t="s">
        <v>773</v>
      </c>
      <c r="AE100" s="34" t="s">
        <v>773</v>
      </c>
      <c r="AF100" s="34" t="s">
        <v>773</v>
      </c>
    </row>
    <row r="101" customFormat="false" ht="15.75" hidden="false" customHeight="false" outlineLevel="0" collapsed="false">
      <c r="A101" s="2" t="n">
        <v>42885.7709953704</v>
      </c>
      <c r="B101" s="1" t="s">
        <v>81</v>
      </c>
      <c r="C101" s="1" t="s">
        <v>61</v>
      </c>
      <c r="D101" s="1" t="n">
        <v>8</v>
      </c>
      <c r="E101" s="1" t="s">
        <v>82</v>
      </c>
      <c r="G101" s="3" t="s">
        <v>83</v>
      </c>
      <c r="H101" s="1" t="s">
        <v>84</v>
      </c>
      <c r="I101" s="1" t="s">
        <v>790</v>
      </c>
      <c r="J101" s="1" t="s">
        <v>791</v>
      </c>
      <c r="K101" s="1" t="n">
        <v>2</v>
      </c>
      <c r="L101" s="22" t="e">
        <f aca="false" t="array" ref="L101:L101">IF(COUNTIF(concat(TRIM('Переформатированный ответ'!$B$2:$B$172),TRIM('Переформатированный ответ'!$C$2:$C$172)),concat(TRIM(B101),TRIM(C101))) &gt; 0,"Есть","Нет")</f>
        <v>#NAME?</v>
      </c>
      <c r="M101" s="34" t="s">
        <v>773</v>
      </c>
      <c r="N101" s="34" t="s">
        <v>773</v>
      </c>
      <c r="O101" s="34" t="s">
        <v>773</v>
      </c>
      <c r="P101" s="34" t="s">
        <v>773</v>
      </c>
      <c r="Q101" s="34" t="s">
        <v>773</v>
      </c>
      <c r="R101" s="34" t="s">
        <v>773</v>
      </c>
      <c r="S101" s="34" t="s">
        <v>773</v>
      </c>
      <c r="T101" s="34" t="s">
        <v>773</v>
      </c>
      <c r="U101" s="34" t="s">
        <v>773</v>
      </c>
      <c r="V101" s="34" t="s">
        <v>773</v>
      </c>
      <c r="W101" s="34" t="s">
        <v>773</v>
      </c>
      <c r="X101" s="34" t="s">
        <v>773</v>
      </c>
      <c r="Y101" s="34" t="s">
        <v>773</v>
      </c>
      <c r="Z101" s="34" t="s">
        <v>773</v>
      </c>
      <c r="AA101" s="34" t="s">
        <v>773</v>
      </c>
      <c r="AB101" s="34" t="s">
        <v>773</v>
      </c>
      <c r="AC101" s="34" t="s">
        <v>773</v>
      </c>
      <c r="AD101" s="34" t="s">
        <v>773</v>
      </c>
      <c r="AE101" s="34" t="s">
        <v>773</v>
      </c>
      <c r="AF101" s="34" t="s">
        <v>773</v>
      </c>
    </row>
    <row r="102" customFormat="false" ht="15.75" hidden="false" customHeight="false" outlineLevel="0" collapsed="false">
      <c r="A102" s="2" t="n">
        <v>42886.5930902778</v>
      </c>
      <c r="B102" s="1" t="s">
        <v>1050</v>
      </c>
      <c r="C102" s="1" t="s">
        <v>720</v>
      </c>
      <c r="D102" s="1" t="n">
        <v>7</v>
      </c>
      <c r="E102" s="1" t="n">
        <v>117</v>
      </c>
      <c r="G102" s="3" t="s">
        <v>1051</v>
      </c>
      <c r="H102" s="1" t="s">
        <v>1052</v>
      </c>
      <c r="I102" s="1" t="s">
        <v>784</v>
      </c>
      <c r="J102" s="1" t="s">
        <v>827</v>
      </c>
      <c r="K102" s="1" t="n">
        <v>2</v>
      </c>
      <c r="L102" s="22" t="e">
        <f aca="false" t="array" ref="L102:L102">IF(COUNTIF(concat(TRIM('Переформатированный ответ'!$B$2:$B$172),TRIM('Переформатированный ответ'!$C$2:$C$172)),concat(TRIM(B102),TRIM(C102))) &gt; 0,"Есть","Нет")</f>
        <v>#NAME?</v>
      </c>
      <c r="M102" s="34" t="s">
        <v>797</v>
      </c>
      <c r="N102" s="34" t="s">
        <v>797</v>
      </c>
      <c r="O102" s="34" t="s">
        <v>773</v>
      </c>
      <c r="P102" s="34" t="s">
        <v>773</v>
      </c>
      <c r="Q102" s="34" t="s">
        <v>797</v>
      </c>
      <c r="R102" s="34" t="s">
        <v>797</v>
      </c>
      <c r="S102" s="34" t="s">
        <v>797</v>
      </c>
      <c r="T102" s="34" t="s">
        <v>797</v>
      </c>
      <c r="U102" s="34" t="s">
        <v>797</v>
      </c>
      <c r="V102" s="34" t="s">
        <v>797</v>
      </c>
      <c r="W102" s="34" t="s">
        <v>797</v>
      </c>
      <c r="X102" s="34" t="s">
        <v>797</v>
      </c>
      <c r="Y102" s="34" t="s">
        <v>797</v>
      </c>
      <c r="Z102" s="34" t="s">
        <v>797</v>
      </c>
      <c r="AA102" s="34" t="s">
        <v>797</v>
      </c>
      <c r="AB102" s="34" t="s">
        <v>797</v>
      </c>
      <c r="AC102" s="34" t="s">
        <v>797</v>
      </c>
      <c r="AD102" s="34" t="s">
        <v>797</v>
      </c>
      <c r="AE102" s="34" t="s">
        <v>797</v>
      </c>
      <c r="AF102" s="34" t="s">
        <v>797</v>
      </c>
    </row>
    <row r="103" customFormat="false" ht="15.75" hidden="false" customHeight="false" outlineLevel="0" collapsed="false">
      <c r="A103" s="2" t="n">
        <v>42886.700462963</v>
      </c>
      <c r="B103" s="1" t="s">
        <v>1053</v>
      </c>
      <c r="C103" s="1" t="s">
        <v>264</v>
      </c>
      <c r="D103" s="1" t="n">
        <v>11</v>
      </c>
      <c r="E103" s="1" t="n">
        <v>117</v>
      </c>
      <c r="G103" s="3" t="s">
        <v>1054</v>
      </c>
      <c r="H103" s="1" t="s">
        <v>1055</v>
      </c>
      <c r="I103" s="1" t="s">
        <v>795</v>
      </c>
      <c r="J103" s="1" t="s">
        <v>806</v>
      </c>
      <c r="K103" s="1" t="n">
        <v>2</v>
      </c>
      <c r="L103" s="22" t="e">
        <f aca="false" t="array" ref="L103:L103">IF(COUNTIF(concat(TRIM('Переформатированный ответ'!$B$2:$B$172),TRIM('Переформатированный ответ'!$C$2:$C$172)),concat(TRIM(B103),TRIM(C103))) &gt; 0,"Есть","Нет")</f>
        <v>#NAME?</v>
      </c>
      <c r="M103" s="34" t="s">
        <v>797</v>
      </c>
      <c r="N103" s="34" t="s">
        <v>773</v>
      </c>
      <c r="O103" s="34" t="s">
        <v>773</v>
      </c>
      <c r="P103" s="34" t="s">
        <v>773</v>
      </c>
      <c r="Q103" s="34" t="s">
        <v>797</v>
      </c>
      <c r="R103" s="34" t="s">
        <v>797</v>
      </c>
      <c r="S103" s="34" t="s">
        <v>797</v>
      </c>
      <c r="T103" s="34" t="s">
        <v>797</v>
      </c>
      <c r="U103" s="34" t="s">
        <v>797</v>
      </c>
      <c r="V103" s="34" t="s">
        <v>797</v>
      </c>
      <c r="W103" s="34" t="s">
        <v>797</v>
      </c>
      <c r="X103" s="34" t="s">
        <v>797</v>
      </c>
      <c r="Y103" s="34" t="s">
        <v>797</v>
      </c>
      <c r="Z103" s="34" t="s">
        <v>797</v>
      </c>
      <c r="AA103" s="34" t="s">
        <v>797</v>
      </c>
      <c r="AB103" s="34" t="s">
        <v>797</v>
      </c>
      <c r="AC103" s="34" t="s">
        <v>797</v>
      </c>
      <c r="AD103" s="34" t="s">
        <v>797</v>
      </c>
      <c r="AE103" s="34" t="s">
        <v>797</v>
      </c>
      <c r="AF103" s="34" t="s">
        <v>797</v>
      </c>
    </row>
    <row r="104" customFormat="false" ht="15.75" hidden="false" customHeight="false" outlineLevel="0" collapsed="false">
      <c r="A104" s="2" t="n">
        <v>42886.8411111111</v>
      </c>
      <c r="B104" s="1" t="s">
        <v>1056</v>
      </c>
      <c r="C104" s="1" t="s">
        <v>903</v>
      </c>
      <c r="D104" s="1" t="n">
        <v>7</v>
      </c>
      <c r="E104" s="1" t="n">
        <v>117</v>
      </c>
      <c r="F104" s="1" t="s">
        <v>1057</v>
      </c>
      <c r="G104" s="1" t="s">
        <v>43</v>
      </c>
      <c r="H104" s="1" t="s">
        <v>1058</v>
      </c>
      <c r="I104" s="1" t="s">
        <v>784</v>
      </c>
      <c r="J104" s="1" t="s">
        <v>827</v>
      </c>
      <c r="K104" s="1" t="n">
        <v>0</v>
      </c>
      <c r="L104" s="22" t="e">
        <f aca="false" t="array" ref="L104:L104">IF(COUNTIF(concat(TRIM('Переформатированный ответ'!$B$2:$B$172),TRIM('Переформатированный ответ'!$C$2:$C$172)),concat(TRIM(B104),TRIM(C104))) &gt; 0,"Есть","Нет")</f>
        <v>#NAME?</v>
      </c>
      <c r="M104" s="34"/>
      <c r="N104" s="34" t="s">
        <v>797</v>
      </c>
      <c r="O104" s="34" t="s">
        <v>773</v>
      </c>
      <c r="P104" s="34" t="s">
        <v>773</v>
      </c>
      <c r="Q104" s="34" t="s">
        <v>797</v>
      </c>
      <c r="R104" s="34" t="s">
        <v>797</v>
      </c>
      <c r="S104" s="34" t="s">
        <v>797</v>
      </c>
      <c r="T104" s="34" t="s">
        <v>797</v>
      </c>
      <c r="U104" s="34" t="s">
        <v>773</v>
      </c>
      <c r="V104" s="34" t="s">
        <v>773</v>
      </c>
      <c r="W104" s="34" t="s">
        <v>797</v>
      </c>
      <c r="X104" s="34" t="s">
        <v>797</v>
      </c>
      <c r="Y104" s="34" t="s">
        <v>797</v>
      </c>
      <c r="Z104" s="34" t="s">
        <v>797</v>
      </c>
      <c r="AA104" s="34" t="s">
        <v>797</v>
      </c>
      <c r="AB104" s="34" t="s">
        <v>797</v>
      </c>
      <c r="AC104" s="34" t="s">
        <v>797</v>
      </c>
      <c r="AD104" s="34" t="s">
        <v>797</v>
      </c>
      <c r="AE104" s="34" t="s">
        <v>797</v>
      </c>
      <c r="AF104" s="34" t="s">
        <v>797</v>
      </c>
    </row>
    <row r="105" customFormat="false" ht="15.75" hidden="false" customHeight="false" outlineLevel="0" collapsed="false">
      <c r="A105" s="2" t="n">
        <v>42887.5177083333</v>
      </c>
      <c r="B105" s="1" t="s">
        <v>1059</v>
      </c>
      <c r="C105" s="1" t="s">
        <v>717</v>
      </c>
      <c r="D105" s="1" t="n">
        <v>6</v>
      </c>
      <c r="E105" s="1" t="n">
        <v>35</v>
      </c>
      <c r="G105" s="3" t="s">
        <v>1060</v>
      </c>
      <c r="H105" s="1" t="s">
        <v>1061</v>
      </c>
      <c r="I105" s="1" t="s">
        <v>815</v>
      </c>
      <c r="J105" s="1" t="s">
        <v>795</v>
      </c>
      <c r="K105" s="1" t="n">
        <v>2</v>
      </c>
      <c r="L105" s="22" t="e">
        <f aca="false" t="array" ref="L105:L105">IF(COUNTIF(concat(TRIM('Переформатированный ответ'!$B$2:$B$172),TRIM('Переформатированный ответ'!$C$2:$C$172)),concat(TRIM(B105),TRIM(C105))) &gt; 0,"Есть","Нет")</f>
        <v>#NAME?</v>
      </c>
      <c r="M105" s="34" t="s">
        <v>773</v>
      </c>
      <c r="N105" s="34" t="s">
        <v>773</v>
      </c>
      <c r="O105" s="34" t="s">
        <v>773</v>
      </c>
      <c r="P105" s="34" t="s">
        <v>773</v>
      </c>
      <c r="Q105" s="34" t="s">
        <v>773</v>
      </c>
      <c r="R105" s="34" t="s">
        <v>773</v>
      </c>
      <c r="S105" s="34" t="s">
        <v>773</v>
      </c>
      <c r="T105" s="34" t="s">
        <v>773</v>
      </c>
      <c r="U105" s="34" t="s">
        <v>773</v>
      </c>
      <c r="V105" s="34" t="s">
        <v>773</v>
      </c>
      <c r="W105" s="34" t="s">
        <v>773</v>
      </c>
      <c r="X105" s="34" t="s">
        <v>773</v>
      </c>
      <c r="Y105" s="34" t="s">
        <v>773</v>
      </c>
      <c r="Z105" s="34" t="s">
        <v>773</v>
      </c>
      <c r="AA105" s="34" t="s">
        <v>773</v>
      </c>
      <c r="AB105" s="34" t="s">
        <v>773</v>
      </c>
      <c r="AC105" s="34" t="s">
        <v>773</v>
      </c>
      <c r="AD105" s="34" t="s">
        <v>773</v>
      </c>
      <c r="AE105" s="34" t="s">
        <v>773</v>
      </c>
      <c r="AF105" s="34" t="s">
        <v>773</v>
      </c>
    </row>
    <row r="106" customFormat="false" ht="15.75" hidden="false" customHeight="false" outlineLevel="0" collapsed="false">
      <c r="A106" s="2" t="n">
        <v>42887.6145717593</v>
      </c>
      <c r="B106" s="1" t="s">
        <v>508</v>
      </c>
      <c r="C106" s="1" t="s">
        <v>509</v>
      </c>
      <c r="D106" s="1" t="n">
        <v>8</v>
      </c>
      <c r="E106" s="1" t="s">
        <v>165</v>
      </c>
      <c r="G106" s="3" t="s">
        <v>510</v>
      </c>
      <c r="H106" s="1" t="s">
        <v>1062</v>
      </c>
      <c r="I106" s="1" t="s">
        <v>790</v>
      </c>
      <c r="J106" s="1" t="s">
        <v>795</v>
      </c>
      <c r="K106" s="1" t="n">
        <v>2</v>
      </c>
      <c r="L106" s="22" t="e">
        <f aca="false" t="array" ref="L106:L106">IF(COUNTIF(concat(TRIM('Переформатированный ответ'!$B$2:$B$172),TRIM('Переформатированный ответ'!$C$2:$C$172)),concat(TRIM(B106),TRIM(C106))) &gt; 0,"Есть","Нет")</f>
        <v>#NAME?</v>
      </c>
      <c r="M106" s="34" t="s">
        <v>773</v>
      </c>
      <c r="N106" s="34" t="s">
        <v>773</v>
      </c>
      <c r="O106" s="34" t="s">
        <v>773</v>
      </c>
      <c r="P106" s="34" t="s">
        <v>773</v>
      </c>
      <c r="Q106" s="34" t="s">
        <v>773</v>
      </c>
      <c r="R106" s="34" t="s">
        <v>773</v>
      </c>
      <c r="S106" s="34" t="s">
        <v>773</v>
      </c>
      <c r="T106" s="34" t="s">
        <v>773</v>
      </c>
      <c r="U106" s="34" t="s">
        <v>773</v>
      </c>
      <c r="V106" s="34" t="s">
        <v>773</v>
      </c>
      <c r="W106" s="34" t="s">
        <v>773</v>
      </c>
      <c r="X106" s="34" t="s">
        <v>773</v>
      </c>
      <c r="Y106" s="34" t="s">
        <v>773</v>
      </c>
      <c r="Z106" s="34" t="s">
        <v>773</v>
      </c>
      <c r="AA106" s="34" t="s">
        <v>773</v>
      </c>
      <c r="AB106" s="34" t="s">
        <v>773</v>
      </c>
      <c r="AC106" s="34" t="s">
        <v>773</v>
      </c>
      <c r="AD106" s="34" t="s">
        <v>773</v>
      </c>
      <c r="AE106" s="34" t="s">
        <v>773</v>
      </c>
      <c r="AF106" s="34" t="s">
        <v>773</v>
      </c>
    </row>
    <row r="107" customFormat="false" ht="15.75" hidden="false" customHeight="false" outlineLevel="0" collapsed="false">
      <c r="A107" s="2" t="n">
        <v>42888.7055555556</v>
      </c>
      <c r="B107" s="1" t="s">
        <v>387</v>
      </c>
      <c r="C107" s="1" t="s">
        <v>350</v>
      </c>
      <c r="D107" s="1" t="n">
        <v>8</v>
      </c>
      <c r="E107" s="1" t="s">
        <v>1063</v>
      </c>
      <c r="F107" s="1" t="s">
        <v>1064</v>
      </c>
      <c r="G107" s="3" t="s">
        <v>389</v>
      </c>
      <c r="H107" s="1" t="s">
        <v>390</v>
      </c>
      <c r="I107" s="1" t="s">
        <v>795</v>
      </c>
      <c r="J107" s="1" t="s">
        <v>806</v>
      </c>
      <c r="K107" s="1" t="n">
        <v>2</v>
      </c>
      <c r="L107" s="22" t="e">
        <f aca="false" t="array" ref="L107:L107">IF(COUNTIF(concat(TRIM('Переформатированный ответ'!$B$2:$B$172),TRIM('Переформатированный ответ'!$C$2:$C$172)),concat(TRIM(B107),TRIM(C107))) &gt; 0,"Есть","Нет")</f>
        <v>#NAME?</v>
      </c>
      <c r="M107" s="34" t="s">
        <v>773</v>
      </c>
      <c r="N107" s="34" t="s">
        <v>773</v>
      </c>
      <c r="O107" s="34" t="s">
        <v>773</v>
      </c>
      <c r="P107" s="34" t="s">
        <v>773</v>
      </c>
      <c r="Q107" s="34" t="s">
        <v>773</v>
      </c>
      <c r="R107" s="34" t="s">
        <v>773</v>
      </c>
      <c r="S107" s="34" t="s">
        <v>773</v>
      </c>
      <c r="T107" s="34" t="s">
        <v>773</v>
      </c>
      <c r="U107" s="34" t="s">
        <v>773</v>
      </c>
      <c r="V107" s="34" t="s">
        <v>773</v>
      </c>
      <c r="W107" s="34" t="s">
        <v>773</v>
      </c>
      <c r="X107" s="34" t="s">
        <v>773</v>
      </c>
      <c r="Y107" s="34" t="s">
        <v>797</v>
      </c>
      <c r="Z107" s="34" t="s">
        <v>797</v>
      </c>
      <c r="AA107" s="34" t="s">
        <v>797</v>
      </c>
      <c r="AB107" s="34" t="s">
        <v>797</v>
      </c>
      <c r="AC107" s="34" t="s">
        <v>797</v>
      </c>
      <c r="AD107" s="34" t="s">
        <v>797</v>
      </c>
      <c r="AE107" s="34" t="s">
        <v>797</v>
      </c>
      <c r="AF107" s="34" t="s">
        <v>797</v>
      </c>
    </row>
    <row r="108" customFormat="false" ht="15.75" hidden="false" customHeight="false" outlineLevel="0" collapsed="false">
      <c r="A108" s="2" t="n">
        <v>42893.875</v>
      </c>
      <c r="B108" s="1" t="s">
        <v>1065</v>
      </c>
      <c r="C108" s="1" t="s">
        <v>1066</v>
      </c>
      <c r="D108" s="1" t="n">
        <v>9</v>
      </c>
      <c r="E108" s="1" t="n">
        <v>109</v>
      </c>
      <c r="G108" s="3" t="s">
        <v>1067</v>
      </c>
      <c r="H108" s="1" t="s">
        <v>1068</v>
      </c>
      <c r="I108" s="1" t="s">
        <v>790</v>
      </c>
      <c r="J108" s="1" t="s">
        <v>801</v>
      </c>
      <c r="K108" s="1" t="n">
        <v>2</v>
      </c>
      <c r="L108" s="22" t="e">
        <f aca="false" t="array" ref="L108:L108">IF(COUNTIF(concat(TRIM('Переформатированный ответ'!$B$2:$B$172),TRIM('Переформатированный ответ'!$C$2:$C$172)),concat(TRIM(B108),TRIM(C108))) &gt; 0,"Есть","Нет")</f>
        <v>#NAME?</v>
      </c>
      <c r="M108" s="34" t="s">
        <v>773</v>
      </c>
      <c r="N108" s="34" t="s">
        <v>773</v>
      </c>
      <c r="O108" s="34" t="s">
        <v>773</v>
      </c>
      <c r="P108" s="34" t="s">
        <v>773</v>
      </c>
      <c r="Q108" s="34" t="s">
        <v>773</v>
      </c>
      <c r="R108" s="34" t="s">
        <v>773</v>
      </c>
      <c r="S108" s="34" t="s">
        <v>797</v>
      </c>
      <c r="T108" s="34" t="s">
        <v>797</v>
      </c>
      <c r="U108" s="34" t="s">
        <v>797</v>
      </c>
      <c r="V108" s="34" t="s">
        <v>797</v>
      </c>
      <c r="W108" s="34" t="s">
        <v>773</v>
      </c>
      <c r="X108" s="34" t="s">
        <v>773</v>
      </c>
      <c r="Y108" s="34" t="s">
        <v>797</v>
      </c>
      <c r="Z108" s="34" t="s">
        <v>797</v>
      </c>
      <c r="AA108" s="34" t="s">
        <v>797</v>
      </c>
      <c r="AB108" s="34" t="s">
        <v>797</v>
      </c>
      <c r="AC108" s="34" t="s">
        <v>773</v>
      </c>
      <c r="AD108" s="34" t="s">
        <v>797</v>
      </c>
      <c r="AE108" s="34" t="s">
        <v>797</v>
      </c>
      <c r="AF108" s="34" t="s">
        <v>797</v>
      </c>
    </row>
    <row r="109" customFormat="false" ht="15.75" hidden="false" customHeight="false" outlineLevel="0" collapsed="false">
      <c r="A109" s="2" t="n">
        <v>42896.4847222222</v>
      </c>
      <c r="B109" s="1" t="s">
        <v>123</v>
      </c>
      <c r="C109" s="1" t="s">
        <v>124</v>
      </c>
      <c r="D109" s="1" t="n">
        <v>7</v>
      </c>
      <c r="E109" s="1" t="n">
        <v>117</v>
      </c>
      <c r="G109" s="3" t="s">
        <v>1069</v>
      </c>
      <c r="H109" s="1" t="s">
        <v>1070</v>
      </c>
      <c r="I109" s="1" t="s">
        <v>815</v>
      </c>
      <c r="J109" s="1" t="s">
        <v>795</v>
      </c>
      <c r="K109" s="1" t="n">
        <v>2</v>
      </c>
      <c r="L109" s="22" t="e">
        <f aca="false" t="array" ref="L109:L109">IF(COUNTIF(concat(TRIM('Переформатированный ответ'!$B$2:$B$172),TRIM('Переформатированный ответ'!$C$2:$C$172)),concat(TRIM(B109),TRIM(C109))) &gt; 0,"Есть","Нет")</f>
        <v>#NAME?</v>
      </c>
      <c r="M109" s="34" t="s">
        <v>773</v>
      </c>
      <c r="N109" s="34" t="s">
        <v>773</v>
      </c>
      <c r="O109" s="34" t="s">
        <v>773</v>
      </c>
      <c r="P109" s="34" t="s">
        <v>773</v>
      </c>
      <c r="Q109" s="34" t="s">
        <v>773</v>
      </c>
      <c r="R109" s="34" t="s">
        <v>773</v>
      </c>
      <c r="S109" s="34" t="s">
        <v>773</v>
      </c>
      <c r="T109" s="34" t="s">
        <v>773</v>
      </c>
      <c r="U109" s="34" t="s">
        <v>773</v>
      </c>
      <c r="V109" s="34" t="s">
        <v>773</v>
      </c>
      <c r="W109" s="34" t="s">
        <v>773</v>
      </c>
      <c r="X109" s="34" t="s">
        <v>773</v>
      </c>
      <c r="Y109" s="34" t="s">
        <v>773</v>
      </c>
      <c r="Z109" s="34" t="s">
        <v>773</v>
      </c>
      <c r="AA109" s="34" t="s">
        <v>773</v>
      </c>
      <c r="AB109" s="34" t="s">
        <v>773</v>
      </c>
      <c r="AC109" s="34" t="s">
        <v>773</v>
      </c>
      <c r="AD109" s="34" t="s">
        <v>773</v>
      </c>
      <c r="AE109" s="34" t="s">
        <v>773</v>
      </c>
      <c r="AF109" s="34" t="s">
        <v>773</v>
      </c>
    </row>
    <row r="110" customFormat="false" ht="15.75" hidden="false" customHeight="false" outlineLevel="0" collapsed="false">
      <c r="A110" s="2" t="n">
        <v>42905.0194444444</v>
      </c>
      <c r="B110" s="1" t="s">
        <v>326</v>
      </c>
      <c r="C110" s="1" t="s">
        <v>327</v>
      </c>
      <c r="D110" s="1" t="n">
        <v>8</v>
      </c>
      <c r="E110" s="1" t="n">
        <v>117</v>
      </c>
      <c r="G110" s="3" t="s">
        <v>1071</v>
      </c>
      <c r="H110" s="1" t="s">
        <v>330</v>
      </c>
      <c r="I110" s="1" t="s">
        <v>783</v>
      </c>
      <c r="J110" s="1" t="s">
        <v>795</v>
      </c>
      <c r="K110" s="1" t="n">
        <v>2</v>
      </c>
      <c r="L110" s="22" t="e">
        <f aca="false" t="array" ref="L110:L110">IF(COUNTIF(concat(TRIM('Переформатированный ответ'!$B$2:$B$172),TRIM('Переформатированный ответ'!$C$2:$C$172)),concat(TRIM(B110),TRIM(C110))) &gt; 0,"Есть","Нет")</f>
        <v>#NAME?</v>
      </c>
      <c r="M110" s="34" t="s">
        <v>773</v>
      </c>
      <c r="N110" s="34" t="s">
        <v>773</v>
      </c>
      <c r="O110" s="34" t="s">
        <v>773</v>
      </c>
      <c r="P110" s="34" t="s">
        <v>773</v>
      </c>
      <c r="Q110" s="34" t="s">
        <v>773</v>
      </c>
      <c r="R110" s="34" t="s">
        <v>773</v>
      </c>
      <c r="S110" s="34" t="s">
        <v>773</v>
      </c>
      <c r="T110" s="34" t="s">
        <v>773</v>
      </c>
      <c r="U110" s="34" t="s">
        <v>773</v>
      </c>
      <c r="V110" s="34" t="s">
        <v>773</v>
      </c>
      <c r="W110" s="34" t="s">
        <v>773</v>
      </c>
      <c r="X110" s="34" t="s">
        <v>773</v>
      </c>
      <c r="Y110" s="34" t="s">
        <v>773</v>
      </c>
      <c r="Z110" s="34" t="s">
        <v>773</v>
      </c>
      <c r="AA110" s="34" t="s">
        <v>773</v>
      </c>
      <c r="AB110" s="34" t="s">
        <v>773</v>
      </c>
      <c r="AC110" s="34" t="s">
        <v>773</v>
      </c>
      <c r="AD110" s="34" t="s">
        <v>773</v>
      </c>
      <c r="AE110" s="34" t="s">
        <v>773</v>
      </c>
      <c r="AF110" s="34" t="s">
        <v>773</v>
      </c>
    </row>
    <row r="111" customFormat="false" ht="15.75" hidden="false" customHeight="false" outlineLevel="0" collapsed="false">
      <c r="A111" s="41" t="n">
        <v>42922.4166666667</v>
      </c>
      <c r="B111" s="1" t="s">
        <v>1072</v>
      </c>
      <c r="C111" s="1" t="s">
        <v>71</v>
      </c>
      <c r="D111" s="1" t="n">
        <v>11</v>
      </c>
      <c r="E111" s="1" t="n">
        <v>64</v>
      </c>
      <c r="I111" s="1" t="s">
        <v>795</v>
      </c>
      <c r="J111" s="1" t="s">
        <v>827</v>
      </c>
      <c r="K111" s="1" t="n">
        <v>2</v>
      </c>
      <c r="L111" s="22" t="e">
        <f aca="false" t="array" ref="L111:L111">IF(COUNTIF(concat(TRIM('Переформатированный ответ'!$B$2:$B$172),TRIM('Переформатированный ответ'!$C$2:$C$172)),concat(TRIM(B111),TRIM(C111))) &gt; 0,"Есть","Нет")</f>
        <v>#NAME?</v>
      </c>
      <c r="M111" s="34" t="s">
        <v>773</v>
      </c>
      <c r="N111" s="34" t="s">
        <v>773</v>
      </c>
      <c r="O111" s="34" t="s">
        <v>773</v>
      </c>
      <c r="P111" s="34" t="s">
        <v>773</v>
      </c>
      <c r="Q111" s="34" t="s">
        <v>773</v>
      </c>
      <c r="R111" s="34" t="s">
        <v>773</v>
      </c>
      <c r="S111" s="34" t="s">
        <v>773</v>
      </c>
      <c r="T111" s="34" t="s">
        <v>773</v>
      </c>
      <c r="U111" s="34" t="s">
        <v>773</v>
      </c>
      <c r="V111" s="34" t="s">
        <v>773</v>
      </c>
      <c r="W111" s="34" t="s">
        <v>773</v>
      </c>
      <c r="X111" s="34" t="s">
        <v>773</v>
      </c>
      <c r="Y111" s="34" t="s">
        <v>797</v>
      </c>
      <c r="Z111" s="34" t="s">
        <v>797</v>
      </c>
      <c r="AA111" s="34" t="s">
        <v>773</v>
      </c>
      <c r="AB111" s="34" t="s">
        <v>773</v>
      </c>
      <c r="AC111" s="34" t="s">
        <v>773</v>
      </c>
      <c r="AD111" s="34" t="s">
        <v>773</v>
      </c>
      <c r="AE111" s="34" t="s">
        <v>797</v>
      </c>
      <c r="AF111" s="34" t="s">
        <v>797</v>
      </c>
    </row>
    <row r="112" customFormat="false" ht="15.75" hidden="false" customHeight="false" outlineLevel="0" collapsed="false">
      <c r="A112" s="42" t="n">
        <v>42927.5416666667</v>
      </c>
      <c r="B112" s="1" t="s">
        <v>1073</v>
      </c>
      <c r="C112" s="1" t="s">
        <v>403</v>
      </c>
      <c r="D112" s="1" t="n">
        <v>7</v>
      </c>
      <c r="E112" s="1" t="n">
        <v>144</v>
      </c>
      <c r="J112" s="1" t="s">
        <v>791</v>
      </c>
      <c r="K112" s="1" t="n">
        <v>2</v>
      </c>
      <c r="L112" s="22" t="e">
        <f aca="false" t="array" ref="L112:L112">IF(COUNTIF(concat(TRIM('Переформатированный ответ'!$B$2:$B$172),TRIM('Переформатированный ответ'!$C$2:$C$172)),concat(TRIM(B112),TRIM(C112))) &gt; 0,"Есть","Нет")</f>
        <v>#NAME?</v>
      </c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 t="s">
        <v>773</v>
      </c>
      <c r="X112" s="34" t="s">
        <v>773</v>
      </c>
      <c r="Y112" s="34" t="s">
        <v>773</v>
      </c>
      <c r="Z112" s="34" t="s">
        <v>773</v>
      </c>
      <c r="AA112" s="34" t="s">
        <v>797</v>
      </c>
      <c r="AB112" s="34" t="s">
        <v>797</v>
      </c>
      <c r="AC112" s="34" t="s">
        <v>773</v>
      </c>
      <c r="AD112" s="34" t="s">
        <v>773</v>
      </c>
      <c r="AE112" s="34" t="s">
        <v>773</v>
      </c>
      <c r="AF112" s="34" t="s">
        <v>773</v>
      </c>
    </row>
    <row r="113" customFormat="false" ht="15.75" hidden="false" customHeight="false" outlineLevel="0" collapsed="false">
      <c r="A113" s="42" t="n">
        <v>42927.5416666667</v>
      </c>
      <c r="B113" s="1" t="s">
        <v>429</v>
      </c>
      <c r="C113" s="1" t="s">
        <v>430</v>
      </c>
      <c r="D113" s="1" t="n">
        <v>7</v>
      </c>
      <c r="E113" s="1" t="n">
        <v>117</v>
      </c>
      <c r="I113" s="1" t="s">
        <v>784</v>
      </c>
      <c r="J113" s="1" t="s">
        <v>791</v>
      </c>
      <c r="K113" s="1" t="n">
        <v>2</v>
      </c>
      <c r="L113" s="22" t="e">
        <f aca="false" t="array" ref="L113:L113">IF(COUNTIF(concat(TRIM('Переформатированный ответ'!$B$2:$B$172),TRIM('Переформатированный ответ'!$C$2:$C$172)),concat(TRIM(B113),TRIM(C113))) &gt; 0,"Есть","Нет")</f>
        <v>#NAME?</v>
      </c>
      <c r="M113" s="34"/>
      <c r="N113" s="34" t="s">
        <v>797</v>
      </c>
      <c r="O113" s="34" t="s">
        <v>797</v>
      </c>
      <c r="P113" s="34" t="s">
        <v>797</v>
      </c>
      <c r="Q113" s="34" t="s">
        <v>797</v>
      </c>
      <c r="R113" s="34" t="s">
        <v>797</v>
      </c>
      <c r="S113" s="34" t="s">
        <v>773</v>
      </c>
      <c r="T113" s="34" t="s">
        <v>773</v>
      </c>
      <c r="U113" s="34" t="s">
        <v>773</v>
      </c>
      <c r="V113" s="34" t="s">
        <v>773</v>
      </c>
      <c r="W113" s="34" t="s">
        <v>773</v>
      </c>
      <c r="X113" s="34" t="s">
        <v>773</v>
      </c>
      <c r="Y113" s="34" t="s">
        <v>773</v>
      </c>
      <c r="Z113" s="34" t="s">
        <v>773</v>
      </c>
      <c r="AA113" s="34" t="s">
        <v>797</v>
      </c>
      <c r="AB113" s="34" t="s">
        <v>797</v>
      </c>
      <c r="AC113" s="34" t="s">
        <v>773</v>
      </c>
      <c r="AD113" s="34" t="s">
        <v>773</v>
      </c>
      <c r="AE113" s="34" t="s">
        <v>773</v>
      </c>
      <c r="AF113" s="34" t="s">
        <v>773</v>
      </c>
    </row>
    <row r="116" customFormat="false" ht="15.75" hidden="false" customHeight="false" outlineLevel="0" collapsed="false">
      <c r="E116" s="1" t="s">
        <v>1074</v>
      </c>
      <c r="F116" s="0" t="n">
        <f aca="false">COUNTIF($L$2:$L$200,"Есть")</f>
        <v>50</v>
      </c>
    </row>
    <row r="117" customFormat="false" ht="15.75" hidden="false" customHeight="false" outlineLevel="0" collapsed="false">
      <c r="E117" s="1" t="s">
        <v>1075</v>
      </c>
      <c r="F117" s="0" t="n">
        <f aca="false">COUNTIF($L$2:$L$200,"Нет")</f>
        <v>62</v>
      </c>
    </row>
  </sheetData>
  <conditionalFormatting sqref="L2:L113">
    <cfRule type="cellIs" priority="2" operator="equal" aboveAverage="0" equalAverage="0" bottom="0" percent="0" rank="0" text="" dxfId="0">
      <formula>"Есть"</formula>
    </cfRule>
  </conditionalFormatting>
  <hyperlinks>
    <hyperlink ref="G2" r:id="rId1" display="vk.com/agent024"/>
    <hyperlink ref="G3" r:id="rId2" display="vk.com/id55040621"/>
    <hyperlink ref="G4" r:id="rId3" display="vk.com/alisatemereva"/>
    <hyperlink ref="G5" r:id="rId4" display="vk.com/id206813526"/>
    <hyperlink ref="G6" r:id="rId5" display="vk.com/jess41359473"/>
    <hyperlink ref="G7" r:id="rId6" display="vk.com/id293021806"/>
    <hyperlink ref="G8" r:id="rId7" display="vk.com/id326623716"/>
    <hyperlink ref="G9" r:id="rId8" display="vk.com/id402259781"/>
    <hyperlink ref="G10" r:id="rId9" display="vk.com/tillid"/>
    <hyperlink ref="G11" r:id="rId10" display="vk.com/juliya___z"/>
    <hyperlink ref="G12" r:id="rId11" display="vk.com/id166902078"/>
    <hyperlink ref="G13" r:id="rId12" display="vk.com/loiwwer"/>
    <hyperlink ref="G14" r:id="rId13" display="vk.com/idiamolya"/>
    <hyperlink ref="G16" r:id="rId14" display="vk.com/id305699141"/>
    <hyperlink ref="G17" r:id="rId15" display="vk.com/id400485657"/>
    <hyperlink ref="G18" r:id="rId16" display="vk.com/id157850061"/>
    <hyperlink ref="G19" r:id="rId17" display="vk.com/liza06082000"/>
    <hyperlink ref="G20" r:id="rId18" display="vk.com/lozhnikov_victor"/>
    <hyperlink ref="G22" r:id="rId19" display="vk.com/sermon.kokosov"/>
    <hyperlink ref="G23" r:id="rId20" display="vk.com/tsyndukov"/>
    <hyperlink ref="G24" r:id="rId21" display="vk.com/id99314292"/>
    <hyperlink ref="G25" r:id="rId22" display="vk.com/damaskyoutube"/>
    <hyperlink ref="G26" r:id="rId23" display="vk.com/id198934365"/>
    <hyperlink ref="G27" r:id="rId24" display="vk.com/anitastashevskaya"/>
    <hyperlink ref="G28" r:id="rId25" display="vk.com/id281300280"/>
    <hyperlink ref="G30" r:id="rId26" display="vk.com/zhenek1979"/>
    <hyperlink ref="G31" r:id="rId27" display="vk.com/alenushkaa_a"/>
    <hyperlink ref="G32" r:id="rId28" display="vk.com/yulyabalakina"/>
    <hyperlink ref="G33" r:id="rId29" display="vk.com/dref55"/>
    <hyperlink ref="G34" r:id="rId30" display="vk.com/shefat"/>
    <hyperlink ref="G35" r:id="rId31" display="vk.com/id183332969"/>
    <hyperlink ref="G36" r:id="rId32" display="vk.com/pkeltsev"/>
    <hyperlink ref="G37" r:id="rId33" display="vk.com/id209670944"/>
    <hyperlink ref="G38" r:id="rId34" display="vk.com/id288643683"/>
    <hyperlink ref="G39" r:id="rId35" display="vk.com/umnayshe4ka"/>
    <hyperlink ref="G40" r:id="rId36" display="vk.com/ivan_vachev"/>
    <hyperlink ref="G41" r:id="rId37" display="vk.com/zolotadmitriy"/>
    <hyperlink ref="G42" r:id="rId38" display="vk.com/sevastyanp"/>
    <hyperlink ref="G43" r:id="rId39" display="vk.com/luckea"/>
    <hyperlink ref="G44" r:id="rId40" display="vk.com/yan_vyazem"/>
    <hyperlink ref="G46" r:id="rId41" display="vk.com/id189704537"/>
    <hyperlink ref="G47" r:id="rId42" display="vk.com/unfraid"/>
    <hyperlink ref="G48" r:id="rId43" display="vk.com/georgela"/>
    <hyperlink ref="G49" r:id="rId44" display="vk.com/id157847345"/>
    <hyperlink ref="G50" r:id="rId45" display="vk.com/danil.ryabtsev"/>
    <hyperlink ref="G51" r:id="rId46" display="vk.com/id136665279"/>
    <hyperlink ref="G52" r:id="rId47" display="vk.com/werrewqr"/>
    <hyperlink ref="G53" r:id="rId48" display="vk.com/idannromm"/>
    <hyperlink ref="G54" r:id="rId49" display="https://vk.com/id243002488"/>
    <hyperlink ref="G55" r:id="rId50" display="vk.com/obeloz"/>
    <hyperlink ref="G56" r:id="rId51" display="vk.com/evverything_is_allowed"/>
    <hyperlink ref="G57" r:id="rId52" display="vk.com/fogo_f"/>
    <hyperlink ref="G58" r:id="rId53" display="vk.com/id377773056"/>
    <hyperlink ref="G59" r:id="rId54" display="vk.com/id316784802"/>
    <hyperlink ref="G60" r:id="rId55" display="vk.com/ekweis"/>
    <hyperlink ref="G62" r:id="rId56" display="vk.com/m.arkushenko"/>
    <hyperlink ref="G63" r:id="rId57" display="vk.com/agarbus2003"/>
    <hyperlink ref="G64" r:id="rId58" display="vk.com/akushnareva2000"/>
    <hyperlink ref="G65" r:id="rId59" display="vk.com/svandrith"/>
    <hyperlink ref="G66" r:id="rId60" display="vk.com/id262530619"/>
    <hyperlink ref="G67" r:id="rId61" display="vk.com/id269312243"/>
    <hyperlink ref="G68" r:id="rId62" display="vk.com/id150796947"/>
    <hyperlink ref="G69" r:id="rId63" display="vk.com/tanya080900"/>
    <hyperlink ref="G70" r:id="rId64" display="vk.com/id163053104"/>
    <hyperlink ref="G71" r:id="rId65" display="vk.com/id336544709"/>
    <hyperlink ref="G72" r:id="rId66" display="vk.com/id149548495"/>
    <hyperlink ref="G73" r:id="rId67" display="vk.com/id249818753"/>
    <hyperlink ref="G74" r:id="rId68" display="vk.com/sergey80401"/>
    <hyperlink ref="G75" r:id="rId69" display="vk.com/lololen.gobz"/>
    <hyperlink ref="G76" r:id="rId70" display="vk.com/id383760243"/>
    <hyperlink ref="G77" r:id="rId71" display="vk.com/id162562572"/>
    <hyperlink ref="G78" r:id="rId72" display="vk.com/anna_dolgova2004"/>
    <hyperlink ref="G79" r:id="rId73" display="vk.com/id153731120"/>
    <hyperlink ref="G80" r:id="rId74" display="vk.com/demenkovalexey"/>
    <hyperlink ref="G81" r:id="rId75" display="vk.com/d.rudskikh"/>
    <hyperlink ref="G82" r:id="rId76" display="vk.com/id179533793"/>
    <hyperlink ref="G83" r:id="rId77" display="vk.com/grichkoedova"/>
    <hyperlink ref="G84" r:id="rId78" display="vk.com/juliarrrrrx"/>
    <hyperlink ref="G86" r:id="rId79" display="vk.com/science_tk"/>
    <hyperlink ref="G87" r:id="rId80" display="vk.com/id248288690"/>
    <hyperlink ref="G88" r:id="rId81" display="vk.com/id352280379"/>
    <hyperlink ref="G89" r:id="rId82" display="vk.com/vlicharovski"/>
    <hyperlink ref="G90" r:id="rId83" display="vk.com/andrezolnikov"/>
    <hyperlink ref="G91" r:id="rId84" display="vk.com/uhhkjg78ygh"/>
    <hyperlink ref="G92" r:id="rId85" display="vk.com/vrnkvknn"/>
    <hyperlink ref="G93" r:id="rId86" display="vk.com/ddp102f"/>
    <hyperlink ref="G94" r:id="rId87" display="vk.com/mara.rina"/>
    <hyperlink ref="G95" r:id="rId88" display="vk.com/id382406601"/>
    <hyperlink ref="G96" r:id="rId89" display="vk.com/id403901742"/>
    <hyperlink ref="G97" r:id="rId90" display="vk.com/id276675815"/>
    <hyperlink ref="G98" r:id="rId91" display="vk.com/id186803102"/>
    <hyperlink ref="G99" r:id="rId92" display="vk.com/aderkach2017"/>
    <hyperlink ref="G100" r:id="rId93" display="vk.com/id172201719"/>
    <hyperlink ref="G101" r:id="rId94" display="vk.com/sadmaris"/>
    <hyperlink ref="G102" r:id="rId95" display="vk.com/id340132670"/>
    <hyperlink ref="G103" r:id="rId96" display="vk.com/id189813664"/>
    <hyperlink ref="G105" r:id="rId97" display="vk.com/id411925471"/>
    <hyperlink ref="G106" r:id="rId98" display="vk.com/neko_murr"/>
    <hyperlink ref="G107" r:id="rId99" display="vk.com/anna.kurbatova99"/>
    <hyperlink ref="G108" r:id="rId100" display="vk.com/id312748553"/>
    <hyperlink ref="G109" r:id="rId101" display="vk.com/lzheldak"/>
    <hyperlink ref="G110" r:id="rId102" display="vk.com/username1908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0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7.87"/>
  </cols>
  <sheetData>
    <row r="1" customFormat="false" ht="15.75" hidden="false" customHeight="false" outlineLevel="0" collapsed="false">
      <c r="A1" s="17" t="s">
        <v>1076</v>
      </c>
      <c r="B1" s="17" t="s">
        <v>3</v>
      </c>
      <c r="C1" s="17" t="s">
        <v>1077</v>
      </c>
      <c r="D1" s="17" t="s">
        <v>1078</v>
      </c>
      <c r="E1" s="17" t="s">
        <v>1079</v>
      </c>
      <c r="F1" s="17" t="s">
        <v>1080</v>
      </c>
    </row>
    <row r="2" customFormat="false" ht="15.75" hidden="false" customHeight="false" outlineLevel="0" collapsed="false">
      <c r="A2" s="1" t="s">
        <v>1081</v>
      </c>
      <c r="B2" s="1" t="n">
        <v>6</v>
      </c>
      <c r="C2" s="0" t="str">
        <f aca="false">IFERROR(__xludf.dummyfunction("SPLIT(A2,"" "")"),"Савельева")</f>
        <v>Савельева</v>
      </c>
      <c r="D2" s="0" t="str">
        <f aca="false">IFERROR(__xludf.dummyfunction("""COMPUTED_VALUE"""),"Ева")</f>
        <v>Ева</v>
      </c>
      <c r="E2" s="0" t="str">
        <f aca="false">IFERROR(__xludf.dummyfunction("""COMPUTED_VALUE"""),"Станиславовна")</f>
        <v>Станиславовна</v>
      </c>
      <c r="F2" s="22" t="e">
        <f aca="false" t="array" ref="F2:F2">IF(COUNTIF(concat(TRIM('Переформатированный ответ'!$B$169:$B$188),TRIM('Переформатированный ответ'!$C$169:$C$188)),concat(TRIM(C2),TRIM(D2))) &gt; 0,"Есть","Нет")</f>
        <v>#NAME?</v>
      </c>
    </row>
    <row r="3" customFormat="false" ht="15.75" hidden="false" customHeight="false" outlineLevel="0" collapsed="false">
      <c r="A3" s="1" t="s">
        <v>1082</v>
      </c>
      <c r="B3" s="1" t="n">
        <v>8</v>
      </c>
      <c r="C3" s="0" t="str">
        <f aca="false">IFERROR(__xludf.dummyfunction("SPLIT(A3,"" "")"),"Гнилякевич")</f>
        <v>Гнилякевич</v>
      </c>
      <c r="D3" s="0" t="str">
        <f aca="false">IFERROR(__xludf.dummyfunction("""COMPUTED_VALUE"""),"Николай")</f>
        <v>Николай</v>
      </c>
      <c r="E3" s="0" t="str">
        <f aca="false">IFERROR(__xludf.dummyfunction("""COMPUTED_VALUE"""),"Юрьевич")</f>
        <v>Юрьевич</v>
      </c>
      <c r="F3" s="22" t="e">
        <f aca="false" t="array" ref="F3:F3">IF(COUNTIF(concat(TRIM('Переформатированный ответ'!$B$169:$B$188),TRIM('Переформатированный ответ'!$C$169:$C$188)),concat(TRIM(C3),TRIM(D3))) &gt; 0,"Есть","Нет")</f>
        <v>#NAME?</v>
      </c>
    </row>
    <row r="4" customFormat="false" ht="15.75" hidden="false" customHeight="false" outlineLevel="0" collapsed="false">
      <c r="A4" s="1" t="s">
        <v>1083</v>
      </c>
      <c r="B4" s="1" t="n">
        <v>7</v>
      </c>
      <c r="C4" s="0" t="str">
        <f aca="false">IFERROR(__xludf.dummyfunction("SPLIT(A4,"" "")"),"Хохлов")</f>
        <v>Хохлов</v>
      </c>
      <c r="D4" s="0" t="str">
        <f aca="false">IFERROR(__xludf.dummyfunction("""COMPUTED_VALUE"""),"Александр")</f>
        <v>Александр</v>
      </c>
      <c r="E4" s="0" t="str">
        <f aca="false">IFERROR(__xludf.dummyfunction("""COMPUTED_VALUE"""),"Вадимович")</f>
        <v>Вадимович</v>
      </c>
      <c r="F4" s="22" t="e">
        <f aca="false" t="array" ref="F4:F4">IF(COUNTIF(concat(TRIM('Переформатированный ответ'!$B$169:$B$188),TRIM('Переформатированный ответ'!$C$169:$C$188)),concat(TRIM(C4),TRIM(D4))) &gt; 0,"Есть","Нет")</f>
        <v>#NAME?</v>
      </c>
    </row>
    <row r="5" customFormat="false" ht="15.75" hidden="false" customHeight="false" outlineLevel="0" collapsed="false">
      <c r="A5" s="1" t="s">
        <v>1084</v>
      </c>
      <c r="B5" s="1" t="n">
        <v>6</v>
      </c>
      <c r="C5" s="0" t="str">
        <f aca="false">IFERROR(__xludf.dummyfunction("SPLIT(A5,"" "")"),"Плахотников")</f>
        <v>Плахотников</v>
      </c>
      <c r="D5" s="0" t="str">
        <f aca="false">IFERROR(__xludf.dummyfunction("""COMPUTED_VALUE"""),"Владимир")</f>
        <v>Владимир</v>
      </c>
      <c r="F5" s="22" t="e">
        <f aca="false" t="array" ref="F5:F5">IF(COUNTIF(concat(TRIM('Переформатированный ответ'!$B$169:$B$188),TRIM('Переформатированный ответ'!$C$169:$C$188)),concat(TRIM(C5),TRIM(D5))) &gt; 0,"Есть","Нет")</f>
        <v>#NAME?</v>
      </c>
    </row>
    <row r="6" customFormat="false" ht="15.75" hidden="false" customHeight="false" outlineLevel="0" collapsed="false">
      <c r="A6" s="1" t="s">
        <v>1085</v>
      </c>
      <c r="B6" s="1" t="n">
        <v>6</v>
      </c>
      <c r="C6" s="0" t="str">
        <f aca="false">IFERROR(__xludf.dummyfunction("SPLIT(A6,"" "")"),"Никель")</f>
        <v>Никель</v>
      </c>
      <c r="D6" s="0" t="str">
        <f aca="false">IFERROR(__xludf.dummyfunction("""COMPUTED_VALUE"""),"Мария")</f>
        <v>Мария</v>
      </c>
      <c r="E6" s="0" t="str">
        <f aca="false">IFERROR(__xludf.dummyfunction("""COMPUTED_VALUE"""),"Викторовна")</f>
        <v>Викторовна</v>
      </c>
      <c r="F6" s="22" t="e">
        <f aca="false" t="array" ref="F6:F6">IF(COUNTIF(concat(TRIM('Переформатированный ответ'!$B$169:$B$188),TRIM('Переформатированный ответ'!$C$169:$C$188)),concat(TRIM(C6),TRIM(D6))) &gt; 0,"Есть","Нет")</f>
        <v>#NAME?</v>
      </c>
    </row>
    <row r="7" customFormat="false" ht="15.75" hidden="false" customHeight="false" outlineLevel="0" collapsed="false">
      <c r="A7" s="1" t="s">
        <v>1086</v>
      </c>
      <c r="B7" s="1" t="n">
        <v>5</v>
      </c>
      <c r="C7" s="0" t="str">
        <f aca="false">IFERROR(__xludf.dummyfunction("SPLIT(A7,"" "")"),"Ракова")</f>
        <v>Ракова</v>
      </c>
      <c r="D7" s="0" t="str">
        <f aca="false">IFERROR(__xludf.dummyfunction("""COMPUTED_VALUE"""),"Елизавета")</f>
        <v>Елизавета</v>
      </c>
      <c r="E7" s="0" t="str">
        <f aca="false">IFERROR(__xludf.dummyfunction("""COMPUTED_VALUE"""),"Олеговна")</f>
        <v>Олеговна</v>
      </c>
      <c r="F7" s="22" t="e">
        <f aca="false" t="array" ref="F7:F7">IF(COUNTIF(concat(TRIM('Переформатированный ответ'!$B$169:$B$188),TRIM('Переформатированный ответ'!$C$169:$C$188)),concat(TRIM(C7),TRIM(D7))) &gt; 0,"Есть","Нет")</f>
        <v>#NAME?</v>
      </c>
    </row>
    <row r="8" customFormat="false" ht="15.75" hidden="false" customHeight="false" outlineLevel="0" collapsed="false">
      <c r="A8" s="1" t="s">
        <v>1087</v>
      </c>
      <c r="B8" s="1" t="n">
        <v>6</v>
      </c>
      <c r="C8" s="0" t="str">
        <f aca="false">IFERROR(__xludf.dummyfunction("SPLIT(A8,"" "")"),"Козлов")</f>
        <v>Козлов</v>
      </c>
      <c r="D8" s="0" t="str">
        <f aca="false">IFERROR(__xludf.dummyfunction("""COMPUTED_VALUE"""),"Степан")</f>
        <v>Степан</v>
      </c>
      <c r="E8" s="0" t="str">
        <f aca="false">IFERROR(__xludf.dummyfunction("""COMPUTED_VALUE"""),"Сергеевич")</f>
        <v>Сергеевич</v>
      </c>
      <c r="F8" s="22" t="e">
        <f aca="false" t="array" ref="F8:F8">IF(COUNTIF(concat(TRIM('Переформатированный ответ'!$B$169:$B$188),TRIM('Переформатированный ответ'!$C$169:$C$188)),concat(TRIM(C8),TRIM(D8))) &gt; 0,"Есть","Нет")</f>
        <v>#NAME?</v>
      </c>
    </row>
    <row r="9" customFormat="false" ht="15.75" hidden="false" customHeight="false" outlineLevel="0" collapsed="false">
      <c r="A9" s="1" t="s">
        <v>1088</v>
      </c>
      <c r="B9" s="1" t="n">
        <v>6</v>
      </c>
      <c r="C9" s="0" t="str">
        <f aca="false">IFERROR(__xludf.dummyfunction("SPLIT(A9,"" "")"),"Ловкина")</f>
        <v>Ловкина</v>
      </c>
      <c r="D9" s="0" t="str">
        <f aca="false">IFERROR(__xludf.dummyfunction("""COMPUTED_VALUE"""),"Анастасия")</f>
        <v>Анастасия</v>
      </c>
      <c r="F9" s="22" t="e">
        <f aca="false" t="array" ref="F9:F9">IF(COUNTIF(concat(TRIM('Переформатированный ответ'!$B$169:$B$188),TRIM('Переформатированный ответ'!$C$169:$C$188)),concat(TRIM(C9),TRIM(D9))) &gt; 0,"Есть","Нет")</f>
        <v>#NAME?</v>
      </c>
    </row>
    <row r="10" customFormat="false" ht="15.75" hidden="false" customHeight="false" outlineLevel="0" collapsed="false">
      <c r="A10" s="1" t="s">
        <v>1089</v>
      </c>
      <c r="B10" s="1" t="n">
        <v>9</v>
      </c>
      <c r="C10" s="0" t="str">
        <f aca="false">IFERROR(__xludf.dummyfunction("SPLIT(A10,"" "")"),"Коротченко")</f>
        <v>Коротченко</v>
      </c>
      <c r="D10" s="0" t="str">
        <f aca="false">IFERROR(__xludf.dummyfunction("""COMPUTED_VALUE"""),"Матвей")</f>
        <v>Матвей</v>
      </c>
      <c r="F10" s="22" t="e">
        <f aca="false" t="array" ref="F10:F10">IF(COUNTIF(concat(TRIM('Переформатированный ответ'!$B$169:$B$188),TRIM('Переформатированный ответ'!$C$169:$C$188)),concat(TRIM(C10),TRIM(D10))) &gt; 0,"Есть","Нет")</f>
        <v>#NAME?</v>
      </c>
    </row>
    <row r="11" customFormat="false" ht="15.75" hidden="false" customHeight="false" outlineLevel="0" collapsed="false">
      <c r="A11" s="1" t="s">
        <v>1090</v>
      </c>
      <c r="B11" s="1" t="n">
        <v>8</v>
      </c>
      <c r="C11" s="0" t="str">
        <f aca="false">IFERROR(__xludf.dummyfunction("SPLIT(A11,"" "")"),"Перкова")</f>
        <v>Перкова</v>
      </c>
      <c r="D11" s="0" t="str">
        <f aca="false">IFERROR(__xludf.dummyfunction("""COMPUTED_VALUE"""),"Дарья")</f>
        <v>Дарья</v>
      </c>
      <c r="E11" s="0" t="str">
        <f aca="false">IFERROR(__xludf.dummyfunction("""COMPUTED_VALUE"""),"Сергеевна")</f>
        <v>Сергеевна</v>
      </c>
      <c r="F11" s="22" t="e">
        <f aca="false" t="array" ref="F11:F11">IF(COUNTIF(concat(TRIM('Переформатированный ответ'!$B$169:$B$188),TRIM('Переформатированный ответ'!$C$169:$C$188)),concat(TRIM(C11),TRIM(D11))) &gt; 0,"Есть","Нет")</f>
        <v>#NAME?</v>
      </c>
    </row>
    <row r="12" customFormat="false" ht="15.75" hidden="false" customHeight="false" outlineLevel="0" collapsed="false">
      <c r="A12" s="1" t="s">
        <v>1091</v>
      </c>
      <c r="B12" s="1" t="n">
        <v>7</v>
      </c>
      <c r="C12" s="0" t="str">
        <f aca="false">IFERROR(__xludf.dummyfunction("SPLIT(A12,"" "")"),"Саньков")</f>
        <v>Саньков</v>
      </c>
      <c r="D12" s="0" t="str">
        <f aca="false">IFERROR(__xludf.dummyfunction("""COMPUTED_VALUE"""),"Иван")</f>
        <v>Иван</v>
      </c>
      <c r="E12" s="0" t="str">
        <f aca="false">IFERROR(__xludf.dummyfunction("""COMPUTED_VALUE"""),"Георгиевич")</f>
        <v>Георгиевич</v>
      </c>
      <c r="F12" s="22" t="e">
        <f aca="false" t="array" ref="F12:F12">IF(COUNTIF(concat(TRIM('Переформатированный ответ'!$B$169:$B$188),TRIM('Переформатированный ответ'!$C$169:$C$188)),concat(TRIM(C12),TRIM(D12))) &gt; 0,"Есть","Нет")</f>
        <v>#NAME?</v>
      </c>
    </row>
    <row r="13" customFormat="false" ht="15.75" hidden="false" customHeight="false" outlineLevel="0" collapsed="false">
      <c r="A13" s="1" t="s">
        <v>1092</v>
      </c>
      <c r="B13" s="1" t="n">
        <v>7</v>
      </c>
      <c r="C13" s="0" t="str">
        <f aca="false">IFERROR(__xludf.dummyfunction("SPLIT(A13,"" "")"),"Кабиденов")</f>
        <v>Кабиденов</v>
      </c>
      <c r="D13" s="0" t="str">
        <f aca="false">IFERROR(__xludf.dummyfunction("""COMPUTED_VALUE"""),"Данияр")</f>
        <v>Данияр</v>
      </c>
      <c r="F13" s="22" t="e">
        <f aca="false" t="array" ref="F13:F13">IF(COUNTIF(concat(TRIM('Переформатированный ответ'!$B$169:$B$188),TRIM('Переформатированный ответ'!$C$169:$C$188)),concat(TRIM(C13),TRIM(D13))) &gt; 0,"Есть","Нет")</f>
        <v>#NAME?</v>
      </c>
    </row>
    <row r="14" customFormat="false" ht="15.75" hidden="false" customHeight="false" outlineLevel="0" collapsed="false">
      <c r="A14" s="1" t="s">
        <v>1093</v>
      </c>
      <c r="B14" s="1" t="n">
        <v>10</v>
      </c>
      <c r="C14" s="0" t="str">
        <f aca="false">IFERROR(__xludf.dummyfunction("SPLIT(A14,"" "")"),"Хаиржанова")</f>
        <v>Хаиржанова</v>
      </c>
      <c r="D14" s="0" t="str">
        <f aca="false">IFERROR(__xludf.dummyfunction("""COMPUTED_VALUE"""),"Асель")</f>
        <v>Асель</v>
      </c>
      <c r="E14" s="0" t="str">
        <f aca="false">IFERROR(__xludf.dummyfunction("""COMPUTED_VALUE"""),"Нуржановна")</f>
        <v>Нуржановна</v>
      </c>
      <c r="F14" s="22" t="e">
        <f aca="false" t="array" ref="F14:F14">IF(COUNTIF(concat(TRIM('Переформатированный ответ'!$B$169:$B$188),TRIM('Переформатированный ответ'!$C$169:$C$188)),concat(TRIM(C14),TRIM(D14))) &gt; 0,"Есть","Нет")</f>
        <v>#NAME?</v>
      </c>
    </row>
    <row r="15" customFormat="false" ht="15.75" hidden="false" customHeight="false" outlineLevel="0" collapsed="false">
      <c r="A15" s="1" t="s">
        <v>1094</v>
      </c>
      <c r="B15" s="1" t="n">
        <v>7</v>
      </c>
      <c r="C15" s="0" t="str">
        <f aca="false">IFERROR(__xludf.dummyfunction("SPLIT(A15,"" "")"),"Татаринова")</f>
        <v>Татаринова</v>
      </c>
      <c r="D15" s="0" t="str">
        <f aca="false">IFERROR(__xludf.dummyfunction("""COMPUTED_VALUE"""),"Юлия")</f>
        <v>Юлия</v>
      </c>
      <c r="F15" s="22" t="e">
        <f aca="false" t="array" ref="F15:F15">IF(COUNTIF(concat(TRIM('Переформатированный ответ'!$B$169:$B$188),TRIM('Переформатированный ответ'!$C$169:$C$188)),concat(TRIM(C15),TRIM(D15))) &gt; 0,"Есть","Нет")</f>
        <v>#NAME?</v>
      </c>
    </row>
    <row r="16" customFormat="false" ht="15.75" hidden="false" customHeight="false" outlineLevel="0" collapsed="false">
      <c r="A16" s="1" t="s">
        <v>1095</v>
      </c>
      <c r="B16" s="1" t="n">
        <v>10</v>
      </c>
      <c r="C16" s="0" t="str">
        <f aca="false">IFERROR(__xludf.dummyfunction("SPLIT(A16,"" "")"),"Крючков")</f>
        <v>Крючков</v>
      </c>
      <c r="D16" s="0" t="str">
        <f aca="false">IFERROR(__xludf.dummyfunction("""COMPUTED_VALUE"""),"Сергей")</f>
        <v>Сергей</v>
      </c>
      <c r="E16" s="0" t="str">
        <f aca="false">IFERROR(__xludf.dummyfunction("""COMPUTED_VALUE"""),"Александрович")</f>
        <v>Александрович</v>
      </c>
      <c r="F16" s="22" t="e">
        <f aca="false" t="array" ref="F16:F16">IF(COUNTIF(concat(TRIM('Переформатированный ответ'!$B$169:$B$188),TRIM('Переформатированный ответ'!$C$169:$C$188)),concat(TRIM(C16),TRIM(D16))) &gt; 0,"Есть","Нет")</f>
        <v>#NAME?</v>
      </c>
    </row>
    <row r="17" customFormat="false" ht="15.75" hidden="false" customHeight="false" outlineLevel="0" collapsed="false">
      <c r="A17" s="1" t="s">
        <v>1096</v>
      </c>
      <c r="B17" s="1" t="n">
        <v>7</v>
      </c>
      <c r="C17" s="0" t="str">
        <f aca="false">IFERROR(__xludf.dummyfunction("SPLIT(A17,"" "")"),"Колесников")</f>
        <v>Колесников</v>
      </c>
      <c r="D17" s="0" t="str">
        <f aca="false">IFERROR(__xludf.dummyfunction("""COMPUTED_VALUE"""),"Тимофей")</f>
        <v>Тимофей</v>
      </c>
      <c r="F17" s="22" t="e">
        <f aca="false" t="array" ref="F17:F17">IF(COUNTIF(concat(TRIM('Переформатированный ответ'!$B$169:$B$188),TRIM('Переформатированный ответ'!$C$169:$C$188)),concat(TRIM(C17),TRIM(D17))) &gt; 0,"Есть","Нет")</f>
        <v>#NAME?</v>
      </c>
    </row>
    <row r="18" customFormat="false" ht="15.75" hidden="false" customHeight="false" outlineLevel="0" collapsed="false">
      <c r="A18" s="1" t="s">
        <v>1097</v>
      </c>
      <c r="B18" s="1" t="n">
        <v>7</v>
      </c>
      <c r="C18" s="0" t="str">
        <f aca="false">IFERROR(__xludf.dummyfunction("SPLIT(A18,"" "")"),"Сивиринов")</f>
        <v>Сивиринов</v>
      </c>
      <c r="D18" s="0" t="str">
        <f aca="false">IFERROR(__xludf.dummyfunction("""COMPUTED_VALUE"""),"Никита")</f>
        <v>Никита</v>
      </c>
      <c r="E18" s="0" t="str">
        <f aca="false">IFERROR(__xludf.dummyfunction("""COMPUTED_VALUE"""),"Сергеевич")</f>
        <v>Сергеевич</v>
      </c>
      <c r="F18" s="22" t="e">
        <f aca="false" t="array" ref="F18:F18">IF(COUNTIF(concat(TRIM('Переформатированный ответ'!$B$169:$B$188),TRIM('Переформатированный ответ'!$C$169:$C$188)),concat(TRIM(C18),TRIM(D18))) &gt; 0,"Есть","Нет")</f>
        <v>#NAME?</v>
      </c>
    </row>
    <row r="19" customFormat="false" ht="15.75" hidden="false" customHeight="false" outlineLevel="0" collapsed="false">
      <c r="A19" s="1" t="s">
        <v>1098</v>
      </c>
      <c r="B19" s="1" t="n">
        <v>6</v>
      </c>
      <c r="C19" s="0" t="str">
        <f aca="false">IFERROR(__xludf.dummyfunction("SPLIT(A19,"" "")"),"Яценко")</f>
        <v>Яценко</v>
      </c>
      <c r="D19" s="0" t="str">
        <f aca="false">IFERROR(__xludf.dummyfunction("""COMPUTED_VALUE"""),"Владислав")</f>
        <v>Владислав</v>
      </c>
      <c r="E19" s="0" t="str">
        <f aca="false">IFERROR(__xludf.dummyfunction("""COMPUTED_VALUE"""),"Владимирович")</f>
        <v>Владимирович</v>
      </c>
      <c r="F19" s="22" t="e">
        <f aca="false" t="array" ref="F19:F19">IF(COUNTIF(concat(TRIM('Переформатированный ответ'!$B$169:$B$188),TRIM('Переформатированный ответ'!$C$169:$C$188)),concat(TRIM(C19),TRIM(D19))) &gt; 0,"Есть","Нет")</f>
        <v>#NAME?</v>
      </c>
    </row>
    <row r="20" customFormat="false" ht="15.75" hidden="false" customHeight="false" outlineLevel="0" collapsed="false">
      <c r="A20" s="1" t="s">
        <v>1099</v>
      </c>
      <c r="B20" s="1" t="n">
        <v>9</v>
      </c>
      <c r="C20" s="0" t="str">
        <f aca="false">IFERROR(__xludf.dummyfunction("SPLIT(A20,"" "")"),"Голенков")</f>
        <v>Голенков</v>
      </c>
      <c r="D20" s="0" t="str">
        <f aca="false">IFERROR(__xludf.dummyfunction("""COMPUTED_VALUE"""),"Игорь")</f>
        <v>Игорь</v>
      </c>
      <c r="F20" s="22" t="e">
        <f aca="false" t="array" ref="F20:F20">IF(COUNTIF(concat(TRIM('Переформатированный ответ'!$B$169:$B$188),TRIM('Переформатированный ответ'!$C$169:$C$188)),concat(TRIM(C20),TRIM(D20))) &gt; 0,"Есть","Нет")</f>
        <v>#NAME?</v>
      </c>
    </row>
    <row r="21" customFormat="false" ht="15.75" hidden="false" customHeight="false" outlineLevel="0" collapsed="false">
      <c r="A21" s="1" t="s">
        <v>1100</v>
      </c>
      <c r="B21" s="1" t="n">
        <v>7</v>
      </c>
      <c r="C21" s="0" t="str">
        <f aca="false">IFERROR(__xludf.dummyfunction("SPLIT(A21,"" "")"),"Крючков")</f>
        <v>Крючков</v>
      </c>
      <c r="D21" s="0" t="str">
        <f aca="false">IFERROR(__xludf.dummyfunction("""COMPUTED_VALUE"""),"Михаил")</f>
        <v>Михаил</v>
      </c>
      <c r="E21" s="0" t="str">
        <f aca="false">IFERROR(__xludf.dummyfunction("""COMPUTED_VALUE"""),"Александрович")</f>
        <v>Александрович</v>
      </c>
      <c r="F21" s="22" t="e">
        <f aca="false" t="array" ref="F21:F21">IF(COUNTIF(concat(TRIM('Переформатированный ответ'!$B$169:$B$188),TRIM('Переформатированный ответ'!$C$169:$C$188)),concat(TRIM(C21),TRIM(D21))) &gt; 0,"Есть","Нет")</f>
        <v>#NAME?</v>
      </c>
    </row>
    <row r="22" customFormat="false" ht="15.75" hidden="false" customHeight="false" outlineLevel="0" collapsed="false">
      <c r="A22" s="1" t="s">
        <v>1101</v>
      </c>
      <c r="B22" s="1" t="n">
        <v>7</v>
      </c>
      <c r="C22" s="0" t="str">
        <f aca="false">IFERROR(__xludf.dummyfunction("SPLIT(A22,"" "")"),"Геворгян")</f>
        <v>Геворгян</v>
      </c>
      <c r="D22" s="0" t="str">
        <f aca="false">IFERROR(__xludf.dummyfunction("""COMPUTED_VALUE"""),"Рафаэль")</f>
        <v>Рафаэль</v>
      </c>
      <c r="F22" s="22" t="e">
        <f aca="false" t="array" ref="F22:F22">IF(COUNTIF(concat(TRIM('Переформатированный ответ'!$B$169:$B$188),TRIM('Переформатированный ответ'!$C$169:$C$188)),concat(TRIM(C22),TRIM(D22))) &gt; 0,"Есть","Нет")</f>
        <v>#NAME?</v>
      </c>
    </row>
    <row r="23" customFormat="false" ht="15.75" hidden="false" customHeight="false" outlineLevel="0" collapsed="false">
      <c r="A23" s="1" t="s">
        <v>1102</v>
      </c>
      <c r="B23" s="1" t="n">
        <v>7</v>
      </c>
      <c r="C23" s="0" t="str">
        <f aca="false">IFERROR(__xludf.dummyfunction("SPLIT(A23,"" "")"),"Чаплышкин")</f>
        <v>Чаплышкин</v>
      </c>
      <c r="D23" s="0" t="str">
        <f aca="false">IFERROR(__xludf.dummyfunction("""COMPUTED_VALUE"""),"Сергей")</f>
        <v>Сергей</v>
      </c>
      <c r="E23" s="0" t="str">
        <f aca="false">IFERROR(__xludf.dummyfunction("""COMPUTED_VALUE"""),"Андреевич")</f>
        <v>Андреевич</v>
      </c>
      <c r="F23" s="22" t="e">
        <f aca="false" t="array" ref="F23:F23">IF(COUNTIF(concat(TRIM('Переформатированный ответ'!$B$169:$B$188),TRIM('Переформатированный ответ'!$C$169:$C$188)),concat(TRIM(C23),TRIM(D23))) &gt; 0,"Есть","Нет")</f>
        <v>#NAME?</v>
      </c>
    </row>
    <row r="24" customFormat="false" ht="15.75" hidden="false" customHeight="false" outlineLevel="0" collapsed="false">
      <c r="A24" s="1" t="s">
        <v>1103</v>
      </c>
      <c r="B24" s="1" t="n">
        <v>8</v>
      </c>
      <c r="C24" s="0" t="str">
        <f aca="false">IFERROR(__xludf.dummyfunction("SPLIT(A24,"" "")"),"Ефимченко")</f>
        <v>Ефимченко</v>
      </c>
      <c r="D24" s="0" t="str">
        <f aca="false">IFERROR(__xludf.dummyfunction("""COMPUTED_VALUE"""),"Марк")</f>
        <v>Марк</v>
      </c>
      <c r="E24" s="0" t="str">
        <f aca="false">IFERROR(__xludf.dummyfunction("""COMPUTED_VALUE"""),"Игорьевич")</f>
        <v>Игорьевич</v>
      </c>
      <c r="F24" s="22" t="e">
        <f aca="false" t="array" ref="F24:F24">IF(COUNTIF(concat(TRIM('Переформатированный ответ'!$B$169:$B$188),TRIM('Переформатированный ответ'!$C$169:$C$188)),concat(TRIM(C24),TRIM(D24))) &gt; 0,"Есть","Нет")</f>
        <v>#NAME?</v>
      </c>
    </row>
    <row r="25" customFormat="false" ht="15.75" hidden="false" customHeight="false" outlineLevel="0" collapsed="false">
      <c r="A25" s="1" t="s">
        <v>1104</v>
      </c>
      <c r="B25" s="1" t="n">
        <v>8</v>
      </c>
      <c r="C25" s="0" t="str">
        <f aca="false">IFERROR(__xludf.dummyfunction("SPLIT(A25,"" "")"),"Ермолаев")</f>
        <v>Ермолаев</v>
      </c>
      <c r="D25" s="0" t="str">
        <f aca="false">IFERROR(__xludf.dummyfunction("""COMPUTED_VALUE"""),"Глеб")</f>
        <v>Глеб</v>
      </c>
      <c r="F25" s="22" t="e">
        <f aca="false" t="array" ref="F25:F25">IF(COUNTIF(concat(TRIM('Переформатированный ответ'!$B$169:$B$188),TRIM('Переформатированный ответ'!$C$169:$C$188)),concat(TRIM(C25),TRIM(D25))) &gt; 0,"Есть","Нет")</f>
        <v>#NAME?</v>
      </c>
    </row>
    <row r="26" customFormat="false" ht="15.75" hidden="false" customHeight="false" outlineLevel="0" collapsed="false">
      <c r="A26" s="1" t="s">
        <v>1105</v>
      </c>
      <c r="B26" s="1" t="n">
        <v>5</v>
      </c>
      <c r="C26" s="0" t="str">
        <f aca="false">IFERROR(__xludf.dummyfunction("SPLIT(A26,"" "")"),"Ермолаев")</f>
        <v>Ермолаев</v>
      </c>
      <c r="D26" s="0" t="str">
        <f aca="false">IFERROR(__xludf.dummyfunction("""COMPUTED_VALUE"""),"Богдан")</f>
        <v>Богдан</v>
      </c>
      <c r="F26" s="22" t="e">
        <f aca="false" t="array" ref="F26:F26">IF(COUNTIF(concat(TRIM('Переформатированный ответ'!$B$169:$B$188),TRIM('Переформатированный ответ'!$C$169:$C$188)),concat(TRIM(C26),TRIM(D26))) &gt; 0,"Есть","Нет")</f>
        <v>#NAME?</v>
      </c>
    </row>
    <row r="27" customFormat="false" ht="15.75" hidden="false" customHeight="false" outlineLevel="0" collapsed="false">
      <c r="A27" s="1" t="s">
        <v>1106</v>
      </c>
      <c r="B27" s="1" t="n">
        <v>6</v>
      </c>
      <c r="C27" s="0" t="str">
        <f aca="false">IFERROR(__xludf.dummyfunction("SPLIT(A27,"" "")"),"Урусов")</f>
        <v>Урусов</v>
      </c>
      <c r="D27" s="0" t="str">
        <f aca="false">IFERROR(__xludf.dummyfunction("""COMPUTED_VALUE"""),"Никита")</f>
        <v>Никита</v>
      </c>
      <c r="F27" s="22" t="e">
        <f aca="false" t="array" ref="F27:F27">IF(COUNTIF(concat(TRIM('Переформатированный ответ'!$B$169:$B$188),TRIM('Переформатированный ответ'!$C$169:$C$188)),concat(TRIM(C27),TRIM(D27))) &gt; 0,"Есть","Нет")</f>
        <v>#NAME?</v>
      </c>
    </row>
    <row r="28" customFormat="false" ht="15.75" hidden="false" customHeight="false" outlineLevel="0" collapsed="false">
      <c r="A28" s="1" t="s">
        <v>1107</v>
      </c>
      <c r="B28" s="1" t="n">
        <v>10</v>
      </c>
      <c r="C28" s="0" t="str">
        <f aca="false">IFERROR(__xludf.dummyfunction("SPLIT(A28,"" "")"),"Широкова")</f>
        <v>Широкова</v>
      </c>
      <c r="D28" s="0" t="str">
        <f aca="false">IFERROR(__xludf.dummyfunction("""COMPUTED_VALUE"""),"Ирина")</f>
        <v>Ирина</v>
      </c>
      <c r="E28" s="0" t="str">
        <f aca="false">IFERROR(__xludf.dummyfunction("""COMPUTED_VALUE"""),"Сергеевна")</f>
        <v>Сергеевна</v>
      </c>
      <c r="F28" s="22" t="e">
        <f aca="false" t="array" ref="F28:F28">IF(COUNTIF(concat(TRIM('Переформатированный ответ'!$B$169:$B$188),TRIM('Переформатированный ответ'!$C$169:$C$188)),concat(TRIM(C28),TRIM(D28))) &gt; 0,"Есть","Нет")</f>
        <v>#NAME?</v>
      </c>
    </row>
    <row r="29" customFormat="false" ht="15.75" hidden="false" customHeight="false" outlineLevel="0" collapsed="false">
      <c r="A29" s="1" t="s">
        <v>1108</v>
      </c>
      <c r="B29" s="1" t="n">
        <v>7</v>
      </c>
      <c r="C29" s="0" t="str">
        <f aca="false">IFERROR(__xludf.dummyfunction("SPLIT(A29,"" "")"),"Кайдаулов")</f>
        <v>Кайдаулов</v>
      </c>
      <c r="D29" s="0" t="str">
        <f aca="false">IFERROR(__xludf.dummyfunction("""COMPUTED_VALUE"""),"Юрий")</f>
        <v>Юрий</v>
      </c>
      <c r="E29" s="0" t="str">
        <f aca="false">IFERROR(__xludf.dummyfunction("""COMPUTED_VALUE"""),"Юрьевич")</f>
        <v>Юрьевич</v>
      </c>
      <c r="F29" s="22" t="e">
        <f aca="false" t="array" ref="F29:F29">IF(COUNTIF(concat(TRIM('Переформатированный ответ'!$B$169:$B$188),TRIM('Переформатированный ответ'!$C$169:$C$188)),concat(TRIM(C29),TRIM(D29))) &gt; 0,"Есть","Нет")</f>
        <v>#NAME?</v>
      </c>
    </row>
    <row r="30" customFormat="false" ht="15.75" hidden="false" customHeight="false" outlineLevel="0" collapsed="false">
      <c r="A30" s="1" t="s">
        <v>1109</v>
      </c>
      <c r="B30" s="1" t="n">
        <v>5</v>
      </c>
      <c r="C30" s="0" t="str">
        <f aca="false">IFERROR(__xludf.dummyfunction("SPLIT(A30,"" "")"),"Кухтий")</f>
        <v>Кухтий</v>
      </c>
      <c r="D30" s="0" t="str">
        <f aca="false">IFERROR(__xludf.dummyfunction("""COMPUTED_VALUE"""),"Никита")</f>
        <v>Никита</v>
      </c>
      <c r="E30" s="0" t="str">
        <f aca="false">IFERROR(__xludf.dummyfunction("""COMPUTED_VALUE"""),"Евгеньевич")</f>
        <v>Евгеньевич</v>
      </c>
      <c r="F30" s="22" t="e">
        <f aca="false" t="array" ref="F30:F30">IF(COUNTIF(concat(TRIM('Переформатированный ответ'!$B$169:$B$188),TRIM('Переформатированный ответ'!$C$169:$C$188)),concat(TRIM(C30),TRIM(D30))) &gt; 0,"Есть","Нет")</f>
        <v>#NAME?</v>
      </c>
    </row>
    <row r="31" customFormat="false" ht="15.75" hidden="false" customHeight="false" outlineLevel="0" collapsed="false">
      <c r="A31" s="1" t="s">
        <v>1110</v>
      </c>
      <c r="B31" s="1" t="n">
        <v>8</v>
      </c>
      <c r="C31" s="0" t="str">
        <f aca="false">IFERROR(__xludf.dummyfunction("SPLIT(A31,"" "")"),"Тимошенко	Данил")</f>
        <v>Тимошенко	Данил</v>
      </c>
      <c r="D31" s="0" t="str">
        <f aca="false">IFERROR(__xludf.dummyfunction("""COMPUTED_VALUE"""),"Павлович")</f>
        <v>Павлович</v>
      </c>
      <c r="F31" s="22" t="e">
        <f aca="false" t="array" ref="F31:F31">IF(COUNTIF(concat(TRIM('Переформатированный ответ'!$B$169:$B$188),TRIM('Переформатированный ответ'!$C$169:$C$188)),concat(TRIM(C31),TRIM(D31))) &gt; 0,"Есть","Нет")</f>
        <v>#NAME?</v>
      </c>
    </row>
    <row r="32" customFormat="false" ht="15.75" hidden="false" customHeight="false" outlineLevel="0" collapsed="false">
      <c r="A32" s="1" t="s">
        <v>1111</v>
      </c>
      <c r="B32" s="1" t="n">
        <v>5</v>
      </c>
      <c r="C32" s="0" t="str">
        <f aca="false">IFERROR(__xludf.dummyfunction("SPLIT(A32,"" "")"),"Тимошенко")</f>
        <v>Тимошенко</v>
      </c>
      <c r="D32" s="0" t="str">
        <f aca="false">IFERROR(__xludf.dummyfunction("""COMPUTED_VALUE"""),"Анастасия")</f>
        <v>Анастасия</v>
      </c>
      <c r="F32" s="22" t="e">
        <f aca="false" t="array" ref="F32:F32">IF(COUNTIF(concat(TRIM('Переформатированный ответ'!$B$169:$B$188),TRIM('Переформатированный ответ'!$C$169:$C$188)),concat(TRIM(C32),TRIM(D32))) &gt; 0,"Есть","Нет")</f>
        <v>#NAME?</v>
      </c>
    </row>
    <row r="33" customFormat="false" ht="15.75" hidden="false" customHeight="false" outlineLevel="0" collapsed="false">
      <c r="A33" s="1" t="s">
        <v>1112</v>
      </c>
      <c r="B33" s="1" t="n">
        <v>5</v>
      </c>
      <c r="C33" s="0" t="str">
        <f aca="false">IFERROR(__xludf.dummyfunction("SPLIT(A33,"" "")"),"Толмачев")</f>
        <v>Толмачев</v>
      </c>
      <c r="D33" s="0" t="str">
        <f aca="false">IFERROR(__xludf.dummyfunction("""COMPUTED_VALUE"""),"Артем")</f>
        <v>Артем</v>
      </c>
      <c r="F33" s="22" t="e">
        <f aca="false" t="array" ref="F33:F33">IF(COUNTIF(concat(TRIM('Переформатированный ответ'!$B$169:$B$188),TRIM('Переформатированный ответ'!$C$169:$C$188)),concat(TRIM(C33),TRIM(D33))) &gt; 0,"Есть","Нет")</f>
        <v>#NAME?</v>
      </c>
    </row>
    <row r="34" customFormat="false" ht="15.75" hidden="false" customHeight="false" outlineLevel="0" collapsed="false">
      <c r="A34" s="1" t="s">
        <v>1113</v>
      </c>
      <c r="B34" s="1" t="n">
        <v>5</v>
      </c>
      <c r="C34" s="0" t="str">
        <f aca="false">IFERROR(__xludf.dummyfunction("SPLIT(A34,"" "")"),"Никитин")</f>
        <v>Никитин</v>
      </c>
      <c r="D34" s="0" t="str">
        <f aca="false">IFERROR(__xludf.dummyfunction("""COMPUTED_VALUE"""),"Николай")</f>
        <v>Николай</v>
      </c>
      <c r="F34" s="22" t="e">
        <f aca="false" t="array" ref="F34:F34">IF(COUNTIF(concat(TRIM('Переформатированный ответ'!$B$169:$B$188),TRIM('Переформатированный ответ'!$C$169:$C$188)),concat(TRIM(C34),TRIM(D34))) &gt; 0,"Есть","Нет")</f>
        <v>#NAME?</v>
      </c>
    </row>
    <row r="35" customFormat="false" ht="15.75" hidden="false" customHeight="false" outlineLevel="0" collapsed="false">
      <c r="A35" s="1" t="s">
        <v>1114</v>
      </c>
      <c r="B35" s="1" t="n">
        <v>8</v>
      </c>
      <c r="C35" s="0" t="str">
        <f aca="false">IFERROR(__xludf.dummyfunction("SPLIT(A35,"" "")"),"Молоторенко")</f>
        <v>Молоторенко</v>
      </c>
      <c r="D35" s="0" t="str">
        <f aca="false">IFERROR(__xludf.dummyfunction("""COMPUTED_VALUE"""),"Анна")</f>
        <v>Анна</v>
      </c>
      <c r="E35" s="0" t="str">
        <f aca="false">IFERROR(__xludf.dummyfunction("""COMPUTED_VALUE"""),"Павловна")</f>
        <v>Павловна</v>
      </c>
      <c r="F35" s="22" t="e">
        <f aca="false" t="array" ref="F35:F35">IF(COUNTIF(concat(TRIM('Переформатированный ответ'!$B$169:$B$188),TRIM('Переформатированный ответ'!$C$169:$C$188)),concat(TRIM(C35),TRIM(D35))) &gt; 0,"Есть","Нет")</f>
        <v>#NAME?</v>
      </c>
    </row>
    <row r="36" customFormat="false" ht="15.75" hidden="false" customHeight="false" outlineLevel="0" collapsed="false">
      <c r="A36" s="1" t="s">
        <v>1115</v>
      </c>
      <c r="B36" s="1" t="n">
        <v>8</v>
      </c>
      <c r="C36" s="0" t="str">
        <f aca="false">IFERROR(__xludf.dummyfunction("SPLIT(A36,"" "")"),"Олейник")</f>
        <v>Олейник</v>
      </c>
      <c r="D36" s="0" t="str">
        <f aca="false">IFERROR(__xludf.dummyfunction("""COMPUTED_VALUE"""),"Юлия")</f>
        <v>Юлия</v>
      </c>
      <c r="E36" s="0" t="str">
        <f aca="false">IFERROR(__xludf.dummyfunction("""COMPUTED_VALUE"""),"Сергеевна")</f>
        <v>Сергеевна</v>
      </c>
      <c r="F36" s="22" t="e">
        <f aca="false" t="array" ref="F36:F36">IF(COUNTIF(concat(TRIM('Переформатированный ответ'!$B$169:$B$188),TRIM('Переформатированный ответ'!$C$169:$C$188)),concat(TRIM(C36),TRIM(D36))) &gt; 0,"Есть","Нет")</f>
        <v>#NAME?</v>
      </c>
    </row>
    <row r="37" customFormat="false" ht="15.75" hidden="false" customHeight="false" outlineLevel="0" collapsed="false">
      <c r="A37" s="1" t="s">
        <v>1116</v>
      </c>
      <c r="B37" s="1" t="n">
        <v>5</v>
      </c>
      <c r="C37" s="0" t="str">
        <f aca="false">IFERROR(__xludf.dummyfunction("SPLIT(A37,"" "")"),"Тарасенко")</f>
        <v>Тарасенко</v>
      </c>
      <c r="D37" s="0" t="str">
        <f aca="false">IFERROR(__xludf.dummyfunction("""COMPUTED_VALUE"""),"Роман")</f>
        <v>Роман</v>
      </c>
      <c r="E37" s="0" t="str">
        <f aca="false">IFERROR(__xludf.dummyfunction("""COMPUTED_VALUE"""),"Евгеньевич")</f>
        <v>Евгеньевич</v>
      </c>
      <c r="F37" s="22" t="e">
        <f aca="false" t="array" ref="F37:F37">IF(COUNTIF(concat(TRIM('Переформатированный ответ'!$B$169:$B$188),TRIM('Переформатированный ответ'!$C$169:$C$188)),concat(TRIM(C37),TRIM(D37))) &gt; 0,"Есть","Нет")</f>
        <v>#NAME?</v>
      </c>
    </row>
    <row r="38" customFormat="false" ht="15.75" hidden="false" customHeight="false" outlineLevel="0" collapsed="false">
      <c r="A38" s="1" t="s">
        <v>1117</v>
      </c>
      <c r="B38" s="1" t="n">
        <v>7</v>
      </c>
      <c r="C38" s="0" t="str">
        <f aca="false">IFERROR(__xludf.dummyfunction("SPLIT(A38,"" "")"),"Анохина")</f>
        <v>Анохина</v>
      </c>
      <c r="D38" s="0" t="str">
        <f aca="false">IFERROR(__xludf.dummyfunction("""COMPUTED_VALUE"""),"Полина")</f>
        <v>Полина</v>
      </c>
      <c r="E38" s="0" t="str">
        <f aca="false">IFERROR(__xludf.dummyfunction("""COMPUTED_VALUE"""),"Александровна")</f>
        <v>Александровна</v>
      </c>
      <c r="F38" s="22" t="e">
        <f aca="false" t="array" ref="F38:F38">IF(COUNTIF(concat(TRIM('Переформатированный ответ'!$B$169:$B$188),TRIM('Переформатированный ответ'!$C$169:$C$188)),concat(TRIM(C38),TRIM(D38))) &gt; 0,"Есть","Нет")</f>
        <v>#NAME?</v>
      </c>
    </row>
    <row r="39" customFormat="false" ht="15.75" hidden="false" customHeight="false" outlineLevel="0" collapsed="false">
      <c r="A39" s="1" t="s">
        <v>1118</v>
      </c>
      <c r="B39" s="1" t="n">
        <v>5</v>
      </c>
      <c r="C39" s="0" t="str">
        <f aca="false">IFERROR(__xludf.dummyfunction("SPLIT(A39,"" "")"),"Зырянов")</f>
        <v>Зырянов</v>
      </c>
      <c r="D39" s="0" t="str">
        <f aca="false">IFERROR(__xludf.dummyfunction("""COMPUTED_VALUE"""),"Иван")</f>
        <v>Иван</v>
      </c>
      <c r="E39" s="0" t="str">
        <f aca="false">IFERROR(__xludf.dummyfunction("""COMPUTED_VALUE"""),"Евгеньевич")</f>
        <v>Евгеньевич</v>
      </c>
      <c r="F39" s="22" t="e">
        <f aca="false" t="array" ref="F39:F39">IF(COUNTIF(concat(TRIM('Переформатированный ответ'!$B$169:$B$188),TRIM('Переформатированный ответ'!$C$169:$C$188)),concat(TRIM(C39),TRIM(D39))) &gt; 0,"Есть","Нет")</f>
        <v>#NAME?</v>
      </c>
    </row>
    <row r="40" customFormat="false" ht="15.75" hidden="false" customHeight="false" outlineLevel="0" collapsed="false">
      <c r="A40" s="1" t="s">
        <v>1119</v>
      </c>
      <c r="B40" s="1" t="n">
        <v>7</v>
      </c>
      <c r="C40" s="0" t="str">
        <f aca="false">IFERROR(__xludf.dummyfunction("SPLIT(A40,"" "")"),"Олифер")</f>
        <v>Олифер</v>
      </c>
      <c r="D40" s="0" t="str">
        <f aca="false">IFERROR(__xludf.dummyfunction("""COMPUTED_VALUE"""),"Вячеслав")</f>
        <v>Вячеслав</v>
      </c>
      <c r="E40" s="0" t="str">
        <f aca="false">IFERROR(__xludf.dummyfunction("""COMPUTED_VALUE"""),"Евгеньевич")</f>
        <v>Евгеньевич</v>
      </c>
      <c r="F40" s="22" t="e">
        <f aca="false" t="array" ref="F40:F40">IF(COUNTIF(concat(TRIM('Переформатированный ответ'!$B$169:$B$188),TRIM('Переформатированный ответ'!$C$169:$C$188)),concat(TRIM(C40),TRIM(D40))) &gt; 0,"Есть","Нет")</f>
        <v>#NAME?</v>
      </c>
    </row>
    <row r="41" customFormat="false" ht="15.75" hidden="false" customHeight="false" outlineLevel="0" collapsed="false">
      <c r="A41" s="1" t="s">
        <v>1120</v>
      </c>
      <c r="B41" s="1" t="n">
        <v>8</v>
      </c>
      <c r="C41" s="0" t="str">
        <f aca="false">IFERROR(__xludf.dummyfunction("SPLIT(A41,"" "")"),"Чаунина")</f>
        <v>Чаунина</v>
      </c>
      <c r="D41" s="0" t="str">
        <f aca="false">IFERROR(__xludf.dummyfunction("""COMPUTED_VALUE"""),"Екатерина")</f>
        <v>Екатерина</v>
      </c>
      <c r="E41" s="0" t="str">
        <f aca="false">IFERROR(__xludf.dummyfunction("""COMPUTED_VALUE"""),"Дмитриевна")</f>
        <v>Дмитриевна</v>
      </c>
      <c r="F41" s="22" t="e">
        <f aca="false" t="array" ref="F41:F41">IF(COUNTIF(concat(TRIM('Переформатированный ответ'!$B$169:$B$188),TRIM('Переформатированный ответ'!$C$169:$C$188)),concat(TRIM(C41),TRIM(D41))) &gt; 0,"Есть","Нет")</f>
        <v>#NAME?</v>
      </c>
    </row>
    <row r="42" customFormat="false" ht="15.75" hidden="false" customHeight="false" outlineLevel="0" collapsed="false">
      <c r="A42" s="1" t="s">
        <v>1121</v>
      </c>
      <c r="B42" s="1" t="n">
        <v>7</v>
      </c>
      <c r="C42" s="0" t="str">
        <f aca="false">IFERROR(__xludf.dummyfunction("SPLIT(A42,"" "")"),"Оларь")</f>
        <v>Оларь</v>
      </c>
      <c r="D42" s="0" t="str">
        <f aca="false">IFERROR(__xludf.dummyfunction("""COMPUTED_VALUE"""),"Михаил")</f>
        <v>Михаил</v>
      </c>
      <c r="E42" s="0" t="str">
        <f aca="false">IFERROR(__xludf.dummyfunction("""COMPUTED_VALUE"""),"Александрович")</f>
        <v>Александрович</v>
      </c>
      <c r="F42" s="22" t="e">
        <f aca="false" t="array" ref="F42:F42">IF(COUNTIF(concat(TRIM('Переформатированный ответ'!$B$169:$B$188),TRIM('Переформатированный ответ'!$C$169:$C$188)),concat(TRIM(C42),TRIM(D42))) &gt; 0,"Есть","Нет")</f>
        <v>#NAME?</v>
      </c>
    </row>
    <row r="43" customFormat="false" ht="15.75" hidden="false" customHeight="false" outlineLevel="0" collapsed="false">
      <c r="A43" s="1" t="s">
        <v>1122</v>
      </c>
      <c r="B43" s="1" t="n">
        <v>5</v>
      </c>
      <c r="C43" s="0" t="str">
        <f aca="false">IFERROR(__xludf.dummyfunction("SPLIT(A43,"" "")"),"Леонтьева")</f>
        <v>Леонтьева</v>
      </c>
      <c r="D43" s="0" t="str">
        <f aca="false">IFERROR(__xludf.dummyfunction("""COMPUTED_VALUE"""),"Ольга")</f>
        <v>Ольга</v>
      </c>
      <c r="E43" s="0" t="str">
        <f aca="false">IFERROR(__xludf.dummyfunction("""COMPUTED_VALUE"""),"Максимовна")</f>
        <v>Максимовна</v>
      </c>
      <c r="F43" s="22" t="e">
        <f aca="false" t="array" ref="F43:F43">IF(COUNTIF(concat(TRIM('Переформатированный ответ'!$B$169:$B$188),TRIM('Переформатированный ответ'!$C$169:$C$188)),concat(TRIM(C43),TRIM(D43))) &gt; 0,"Есть","Нет")</f>
        <v>#NAME?</v>
      </c>
    </row>
    <row r="44" customFormat="false" ht="15.75" hidden="false" customHeight="false" outlineLevel="0" collapsed="false">
      <c r="A44" s="1" t="s">
        <v>1123</v>
      </c>
      <c r="B44" s="1" t="n">
        <v>9</v>
      </c>
      <c r="C44" s="0" t="str">
        <f aca="false">IFERROR(__xludf.dummyfunction("SPLIT(A44,"" "")"),"Таможникова")</f>
        <v>Таможникова</v>
      </c>
      <c r="D44" s="0" t="str">
        <f aca="false">IFERROR(__xludf.dummyfunction("""COMPUTED_VALUE"""),"Вероника")</f>
        <v>Вероника</v>
      </c>
      <c r="F44" s="22" t="e">
        <f aca="false" t="array" ref="F44:F44">IF(COUNTIF(concat(TRIM('Переформатированный ответ'!$B$169:$B$188),TRIM('Переформатированный ответ'!$C$169:$C$188)),concat(TRIM(C44),TRIM(D44))) &gt; 0,"Есть","Нет")</f>
        <v>#NAME?</v>
      </c>
    </row>
    <row r="45" customFormat="false" ht="15.75" hidden="false" customHeight="false" outlineLevel="0" collapsed="false">
      <c r="A45" s="1" t="s">
        <v>1124</v>
      </c>
      <c r="B45" s="1" t="n">
        <v>6</v>
      </c>
      <c r="C45" s="0" t="str">
        <f aca="false">IFERROR(__xludf.dummyfunction("SPLIT(A45,"" "")"),"Фомин")</f>
        <v>Фомин</v>
      </c>
      <c r="D45" s="0" t="str">
        <f aca="false">IFERROR(__xludf.dummyfunction("""COMPUTED_VALUE"""),"Алексей")</f>
        <v>Алексей</v>
      </c>
      <c r="E45" s="0" t="str">
        <f aca="false">IFERROR(__xludf.dummyfunction("""COMPUTED_VALUE"""),"Александрович")</f>
        <v>Александрович</v>
      </c>
      <c r="F45" s="22" t="e">
        <f aca="false" t="array" ref="F45:F45">IF(COUNTIF(concat(TRIM('Переформатированный ответ'!$B$169:$B$188),TRIM('Переформатированный ответ'!$C$169:$C$188)),concat(TRIM(C45),TRIM(D45))) &gt; 0,"Есть","Нет")</f>
        <v>#NAME?</v>
      </c>
    </row>
    <row r="46" customFormat="false" ht="15.75" hidden="false" customHeight="false" outlineLevel="0" collapsed="false">
      <c r="A46" s="1" t="s">
        <v>1125</v>
      </c>
      <c r="B46" s="1" t="n">
        <v>7</v>
      </c>
      <c r="C46" s="0" t="str">
        <f aca="false">IFERROR(__xludf.dummyfunction("SPLIT(A46,"" "")"),"Осипова")</f>
        <v>Осипова</v>
      </c>
      <c r="D46" s="0" t="str">
        <f aca="false">IFERROR(__xludf.dummyfunction("""COMPUTED_VALUE"""),"Валентина")</f>
        <v>Валентина</v>
      </c>
      <c r="E46" s="0" t="str">
        <f aca="false">IFERROR(__xludf.dummyfunction("""COMPUTED_VALUE"""),"Витальевна")</f>
        <v>Витальевна</v>
      </c>
      <c r="F46" s="22" t="e">
        <f aca="false" t="array" ref="F46:F46">IF(COUNTIF(concat(TRIM('Переформатированный ответ'!$B$169:$B$188),TRIM('Переформатированный ответ'!$C$169:$C$188)),concat(TRIM(C46),TRIM(D46))) &gt; 0,"Есть","Нет")</f>
        <v>#NAME?</v>
      </c>
    </row>
    <row r="47" customFormat="false" ht="15.75" hidden="false" customHeight="false" outlineLevel="0" collapsed="false">
      <c r="A47" s="1" t="s">
        <v>1126</v>
      </c>
      <c r="B47" s="1" t="n">
        <v>8</v>
      </c>
      <c r="C47" s="0" t="str">
        <f aca="false">IFERROR(__xludf.dummyfunction("SPLIT(A47,"" "")"),"Куркуянец")</f>
        <v>Куркуянец</v>
      </c>
      <c r="D47" s="0" t="str">
        <f aca="false">IFERROR(__xludf.dummyfunction("""COMPUTED_VALUE"""),"Георгий")</f>
        <v>Георгий</v>
      </c>
      <c r="E47" s="0" t="str">
        <f aca="false">IFERROR(__xludf.dummyfunction("""COMPUTED_VALUE"""),"Александрович")</f>
        <v>Александрович</v>
      </c>
      <c r="F47" s="22" t="e">
        <f aca="false" t="array" ref="F47:F47">IF(COUNTIF(concat(TRIM('Переформатированный ответ'!$B$169:$B$188),TRIM('Переформатированный ответ'!$C$169:$C$188)),concat(TRIM(C47),TRIM(D47))) &gt; 0,"Есть","Нет")</f>
        <v>#NAME?</v>
      </c>
    </row>
    <row r="48" customFormat="false" ht="15.75" hidden="false" customHeight="false" outlineLevel="0" collapsed="false">
      <c r="A48" s="1" t="s">
        <v>1127</v>
      </c>
      <c r="B48" s="1" t="n">
        <v>6</v>
      </c>
      <c r="C48" s="0" t="str">
        <f aca="false">IFERROR(__xludf.dummyfunction("SPLIT(A48,"" "")"),"Борзенков")</f>
        <v>Борзенков</v>
      </c>
      <c r="D48" s="0" t="str">
        <f aca="false">IFERROR(__xludf.dummyfunction("""COMPUTED_VALUE"""),"Владимир")</f>
        <v>Владимир</v>
      </c>
      <c r="E48" s="0" t="str">
        <f aca="false">IFERROR(__xludf.dummyfunction("""COMPUTED_VALUE"""),"Дмитриевич")</f>
        <v>Дмитриевич</v>
      </c>
      <c r="F48" s="22" t="e">
        <f aca="false" t="array" ref="F48:F48">IF(COUNTIF(concat(TRIM('Переформатированный ответ'!$B$169:$B$188),TRIM('Переформатированный ответ'!$C$169:$C$188)),concat(TRIM(C48),TRIM(D48))) &gt; 0,"Есть","Нет")</f>
        <v>#NAME?</v>
      </c>
    </row>
    <row r="49" customFormat="false" ht="15.75" hidden="false" customHeight="false" outlineLevel="0" collapsed="false">
      <c r="A49" s="1" t="s">
        <v>1128</v>
      </c>
      <c r="B49" s="1" t="n">
        <v>8</v>
      </c>
      <c r="C49" s="0" t="str">
        <f aca="false">IFERROR(__xludf.dummyfunction("SPLIT(A49,"" "")"),"Терехина")</f>
        <v>Терехина</v>
      </c>
      <c r="D49" s="0" t="str">
        <f aca="false">IFERROR(__xludf.dummyfunction("""COMPUTED_VALUE"""),"Елизавета")</f>
        <v>Елизавета</v>
      </c>
      <c r="E49" s="0" t="str">
        <f aca="false">IFERROR(__xludf.dummyfunction("""COMPUTED_VALUE"""),"Александровна")</f>
        <v>Александровна</v>
      </c>
      <c r="F49" s="22" t="e">
        <f aca="false" t="array" ref="F49:F49">IF(COUNTIF(concat(TRIM('Переформатированный ответ'!$B$169:$B$188),TRIM('Переформатированный ответ'!$C$169:$C$188)),concat(TRIM(C49),TRIM(D49))) &gt; 0,"Есть","Нет")</f>
        <v>#NAME?</v>
      </c>
    </row>
    <row r="50" customFormat="false" ht="15.75" hidden="false" customHeight="false" outlineLevel="0" collapsed="false">
      <c r="A50" s="1" t="s">
        <v>1129</v>
      </c>
      <c r="B50" s="1" t="n">
        <v>5</v>
      </c>
      <c r="C50" s="0" t="str">
        <f aca="false">IFERROR(__xludf.dummyfunction("SPLIT(A50,"" "")"),"Приходько")</f>
        <v>Приходько</v>
      </c>
      <c r="D50" s="0" t="str">
        <f aca="false">IFERROR(__xludf.dummyfunction("""COMPUTED_VALUE"""),"Михаил")</f>
        <v>Михаил</v>
      </c>
      <c r="E50" s="0" t="str">
        <f aca="false">IFERROR(__xludf.dummyfunction("""COMPUTED_VALUE"""),"Александрович")</f>
        <v>Александрович</v>
      </c>
      <c r="F50" s="22" t="e">
        <f aca="false" t="array" ref="F50:F50">IF(COUNTIF(concat(TRIM('Переформатированный ответ'!$B$169:$B$188),TRIM('Переформатированный ответ'!$C$169:$C$188)),concat(TRIM(C50),TRIM(D50))) &gt; 0,"Есть","Нет")</f>
        <v>#NAME?</v>
      </c>
    </row>
    <row r="51" customFormat="false" ht="15.75" hidden="false" customHeight="false" outlineLevel="0" collapsed="false">
      <c r="A51" s="1" t="s">
        <v>1130</v>
      </c>
      <c r="B51" s="1" t="n">
        <v>9</v>
      </c>
      <c r="C51" s="0" t="str">
        <f aca="false">IFERROR(__xludf.dummyfunction("SPLIT(A51,"" "")"),"Барабанова")</f>
        <v>Барабанова</v>
      </c>
      <c r="D51" s="0" t="str">
        <f aca="false">IFERROR(__xludf.dummyfunction("""COMPUTED_VALUE"""),"Дарья")</f>
        <v>Дарья</v>
      </c>
      <c r="E51" s="0" t="str">
        <f aca="false">IFERROR(__xludf.dummyfunction("""COMPUTED_VALUE"""),"Дмитриевна")</f>
        <v>Дмитриевна</v>
      </c>
      <c r="F51" s="22" t="e">
        <f aca="false" t="array" ref="F51:F51">IF(COUNTIF(concat(TRIM('Переформатированный ответ'!$B$169:$B$188),TRIM('Переформатированный ответ'!$C$169:$C$188)),concat(TRIM(C51),TRIM(D51))) &gt; 0,"Есть","Нет")</f>
        <v>#NAME?</v>
      </c>
    </row>
    <row r="52" customFormat="false" ht="15.75" hidden="false" customHeight="false" outlineLevel="0" collapsed="false">
      <c r="A52" s="1" t="s">
        <v>1131</v>
      </c>
      <c r="B52" s="1" t="n">
        <v>8</v>
      </c>
      <c r="C52" s="0" t="str">
        <f aca="false">IFERROR(__xludf.dummyfunction("SPLIT(A52,"" "")"),"Катаманина")</f>
        <v>Катаманина</v>
      </c>
      <c r="D52" s="0" t="str">
        <f aca="false">IFERROR(__xludf.dummyfunction("""COMPUTED_VALUE"""),"Софья")</f>
        <v>Софья</v>
      </c>
      <c r="E52" s="0" t="str">
        <f aca="false">IFERROR(__xludf.dummyfunction("""COMPUTED_VALUE"""),"Николаевна")</f>
        <v>Николаевна</v>
      </c>
      <c r="F52" s="22" t="e">
        <f aca="false" t="array" ref="F52:F52">IF(COUNTIF(concat(TRIM('Переформатированный ответ'!$B$169:$B$188),TRIM('Переформатированный ответ'!$C$169:$C$188)),concat(TRIM(C52),TRIM(D52))) &gt; 0,"Есть","Нет")</f>
        <v>#NAME?</v>
      </c>
    </row>
    <row r="53" customFormat="false" ht="15.75" hidden="false" customHeight="false" outlineLevel="0" collapsed="false">
      <c r="A53" s="1" t="s">
        <v>1132</v>
      </c>
      <c r="B53" s="1" t="n">
        <v>10</v>
      </c>
      <c r="C53" s="0" t="str">
        <f aca="false">IFERROR(__xludf.dummyfunction("SPLIT(A53,"" "")"),"Васильев")</f>
        <v>Васильев</v>
      </c>
      <c r="D53" s="0" t="str">
        <f aca="false">IFERROR(__xludf.dummyfunction("""COMPUTED_VALUE"""),"Сергей")</f>
        <v>Сергей</v>
      </c>
      <c r="E53" s="0" t="str">
        <f aca="false">IFERROR(__xludf.dummyfunction("""COMPUTED_VALUE"""),"Павлович")</f>
        <v>Павлович</v>
      </c>
      <c r="F53" s="22" t="e">
        <f aca="false" t="array" ref="F53:F53">IF(COUNTIF(concat(TRIM('Переформатированный ответ'!$B$169:$B$188),TRIM('Переформатированный ответ'!$C$169:$C$188)),concat(TRIM(C53),TRIM(D53))) &gt; 0,"Есть","Нет")</f>
        <v>#NAME?</v>
      </c>
    </row>
    <row r="54" customFormat="false" ht="15.75" hidden="false" customHeight="false" outlineLevel="0" collapsed="false">
      <c r="A54" s="1" t="s">
        <v>1133</v>
      </c>
      <c r="B54" s="1" t="n">
        <v>5</v>
      </c>
      <c r="C54" s="0" t="str">
        <f aca="false">IFERROR(__xludf.dummyfunction("SPLIT(A54,"" "")"),"Зольников")</f>
        <v>Зольников</v>
      </c>
      <c r="D54" s="0" t="str">
        <f aca="false">IFERROR(__xludf.dummyfunction("""COMPUTED_VALUE"""),"Олег")</f>
        <v>Олег</v>
      </c>
      <c r="E54" s="0" t="str">
        <f aca="false">IFERROR(__xludf.dummyfunction("""COMPUTED_VALUE"""),"Сергеевич")</f>
        <v>Сергеевич</v>
      </c>
      <c r="F54" s="22" t="e">
        <f aca="false" t="array" ref="F54:F54">IF(COUNTIF(concat(TRIM('Переформатированный ответ'!$B$169:$B$188),TRIM('Переформатированный ответ'!$C$169:$C$188)),concat(TRIM(C54),TRIM(D54))) &gt; 0,"Есть","Нет")</f>
        <v>#NAME?</v>
      </c>
    </row>
    <row r="55" customFormat="false" ht="15.75" hidden="false" customHeight="false" outlineLevel="0" collapsed="false">
      <c r="A55" s="1" t="s">
        <v>1134</v>
      </c>
      <c r="B55" s="1" t="n">
        <v>8</v>
      </c>
      <c r="C55" s="0" t="str">
        <f aca="false">IFERROR(__xludf.dummyfunction("SPLIT(A55,"" "")"),"Зольникова")</f>
        <v>Зольникова</v>
      </c>
      <c r="D55" s="0" t="str">
        <f aca="false">IFERROR(__xludf.dummyfunction("""COMPUTED_VALUE"""),"Полина")</f>
        <v>Полина</v>
      </c>
      <c r="E55" s="0" t="str">
        <f aca="false">IFERROR(__xludf.dummyfunction("""COMPUTED_VALUE"""),"Сергеевна")</f>
        <v>Сергеевна</v>
      </c>
      <c r="F55" s="22" t="e">
        <f aca="false" t="array" ref="F55:F55">IF(COUNTIF(concat(TRIM('Переформатированный ответ'!$B$169:$B$188),TRIM('Переформатированный ответ'!$C$169:$C$188)),concat(TRIM(C55),TRIM(D55))) &gt; 0,"Есть","Нет")</f>
        <v>#NAME?</v>
      </c>
    </row>
    <row r="56" customFormat="false" ht="15.75" hidden="false" customHeight="false" outlineLevel="0" collapsed="false">
      <c r="A56" s="1" t="s">
        <v>1135</v>
      </c>
      <c r="B56" s="1" t="n">
        <v>5</v>
      </c>
      <c r="C56" s="0" t="str">
        <f aca="false">IFERROR(__xludf.dummyfunction("SPLIT(A56,"" "")"),"Филимонова")</f>
        <v>Филимонова</v>
      </c>
      <c r="D56" s="0" t="str">
        <f aca="false">IFERROR(__xludf.dummyfunction("""COMPUTED_VALUE"""),"Ольга")</f>
        <v>Ольга</v>
      </c>
      <c r="E56" s="0" t="str">
        <f aca="false">IFERROR(__xludf.dummyfunction("""COMPUTED_VALUE"""),"Дмитриевна")</f>
        <v>Дмитриевна</v>
      </c>
      <c r="F56" s="22" t="e">
        <f aca="false" t="array" ref="F56:F56">IF(COUNTIF(concat(TRIM('Переформатированный ответ'!$B$169:$B$188),TRIM('Переформатированный ответ'!$C$169:$C$188)),concat(TRIM(C56),TRIM(D56))) &gt; 0,"Есть","Нет")</f>
        <v>#NAME?</v>
      </c>
    </row>
    <row r="57" customFormat="false" ht="15.75" hidden="false" customHeight="false" outlineLevel="0" collapsed="false">
      <c r="A57" s="1" t="s">
        <v>1136</v>
      </c>
      <c r="B57" s="1" t="n">
        <v>8</v>
      </c>
      <c r="C57" s="0" t="str">
        <f aca="false">IFERROR(__xludf.dummyfunction("SPLIT(A57,"" "")"),"Орлов")</f>
        <v>Орлов</v>
      </c>
      <c r="D57" s="0" t="str">
        <f aca="false">IFERROR(__xludf.dummyfunction("""COMPUTED_VALUE"""),"Артем")</f>
        <v>Артем</v>
      </c>
      <c r="E57" s="0" t="str">
        <f aca="false">IFERROR(__xludf.dummyfunction("""COMPUTED_VALUE"""),"Дмитриевич")</f>
        <v>Дмитриевич</v>
      </c>
      <c r="F57" s="22" t="e">
        <f aca="false" t="array" ref="F57:F57">IF(COUNTIF(concat(TRIM('Переформатированный ответ'!$B$169:$B$188),TRIM('Переформатированный ответ'!$C$169:$C$188)),concat(TRIM(C57),TRIM(D57))) &gt; 0,"Есть","Нет")</f>
        <v>#NAME?</v>
      </c>
    </row>
    <row r="58" customFormat="false" ht="15.75" hidden="false" customHeight="false" outlineLevel="0" collapsed="false">
      <c r="A58" s="1" t="s">
        <v>1137</v>
      </c>
      <c r="B58" s="1" t="n">
        <v>8</v>
      </c>
      <c r="C58" s="0" t="str">
        <f aca="false">IFERROR(__xludf.dummyfunction("SPLIT(A58,"" "")"),"Хрущ")</f>
        <v>Хрущ</v>
      </c>
      <c r="D58" s="0" t="str">
        <f aca="false">IFERROR(__xludf.dummyfunction("""COMPUTED_VALUE"""),"Яна")</f>
        <v>Яна</v>
      </c>
      <c r="E58" s="0" t="str">
        <f aca="false">IFERROR(__xludf.dummyfunction("""COMPUTED_VALUE"""),"Андреевна")</f>
        <v>Андреевна</v>
      </c>
      <c r="F58" s="22" t="e">
        <f aca="false" t="array" ref="F58:F58">IF(COUNTIF(concat(TRIM('Переформатированный ответ'!$B$169:$B$188),TRIM('Переформатированный ответ'!$C$169:$C$188)),concat(TRIM(C58),TRIM(D58))) &gt; 0,"Есть","Нет")</f>
        <v>#NAME?</v>
      </c>
    </row>
    <row r="59" customFormat="false" ht="15.75" hidden="false" customHeight="false" outlineLevel="0" collapsed="false">
      <c r="A59" s="1" t="s">
        <v>1138</v>
      </c>
      <c r="B59" s="1" t="n">
        <v>8</v>
      </c>
      <c r="C59" s="0" t="str">
        <f aca="false">IFERROR(__xludf.dummyfunction("SPLIT(A59,"" "")"),"Лаптева")</f>
        <v>Лаптева</v>
      </c>
      <c r="D59" s="0" t="str">
        <f aca="false">IFERROR(__xludf.dummyfunction("""COMPUTED_VALUE"""),"Анна")</f>
        <v>Анна</v>
      </c>
      <c r="E59" s="0" t="str">
        <f aca="false">IFERROR(__xludf.dummyfunction("""COMPUTED_VALUE"""),"Анатольевна")</f>
        <v>Анатольевна</v>
      </c>
      <c r="F59" s="22" t="e">
        <f aca="false" t="array" ref="F59:F59">IF(COUNTIF(concat(TRIM('Переформатированный ответ'!$B$169:$B$188),TRIM('Переформатированный ответ'!$C$169:$C$188)),concat(TRIM(C59),TRIM(D59))) &gt; 0,"Есть","Нет")</f>
        <v>#NAME?</v>
      </c>
    </row>
    <row r="60" customFormat="false" ht="15.75" hidden="false" customHeight="false" outlineLevel="0" collapsed="false">
      <c r="A60" s="1" t="s">
        <v>1139</v>
      </c>
      <c r="B60" s="1" t="n">
        <v>7</v>
      </c>
      <c r="C60" s="0" t="str">
        <f aca="false">IFERROR(__xludf.dummyfunction("SPLIT(A60,"" "")"),"Покотило")</f>
        <v>Покотило</v>
      </c>
      <c r="D60" s="0" t="str">
        <f aca="false">IFERROR(__xludf.dummyfunction("""COMPUTED_VALUE"""),"Андрей")</f>
        <v>Андрей</v>
      </c>
      <c r="E60" s="0" t="str">
        <f aca="false">IFERROR(__xludf.dummyfunction("""COMPUTED_VALUE"""),"Дмитриевич")</f>
        <v>Дмитриевич</v>
      </c>
      <c r="F60" s="22" t="e">
        <f aca="false" t="array" ref="F60:F60">IF(COUNTIF(concat(TRIM('Переформатированный ответ'!$B$169:$B$188),TRIM('Переформатированный ответ'!$C$169:$C$188)),concat(TRIM(C60),TRIM(D60))) &gt; 0,"Есть","Нет")</f>
        <v>#NAME?</v>
      </c>
    </row>
    <row r="61" customFormat="false" ht="15.75" hidden="false" customHeight="false" outlineLevel="0" collapsed="false">
      <c r="A61" s="1" t="s">
        <v>1140</v>
      </c>
      <c r="B61" s="1" t="n">
        <v>5</v>
      </c>
      <c r="C61" s="0" t="str">
        <f aca="false">IFERROR(__xludf.dummyfunction("SPLIT(A61,"" "")"),"Дерябин")</f>
        <v>Дерябин</v>
      </c>
      <c r="D61" s="0" t="str">
        <f aca="false">IFERROR(__xludf.dummyfunction("""COMPUTED_VALUE"""),"Андрей")</f>
        <v>Андрей</v>
      </c>
      <c r="E61" s="0" t="str">
        <f aca="false">IFERROR(__xludf.dummyfunction("""COMPUTED_VALUE"""),"Александрович")</f>
        <v>Александрович</v>
      </c>
      <c r="F61" s="22" t="e">
        <f aca="false" t="array" ref="F61:F61">IF(COUNTIF(concat(TRIM('Переформатированный ответ'!$B$169:$B$188),TRIM('Переформатированный ответ'!$C$169:$C$188)),concat(TRIM(C61),TRIM(D61))) &gt; 0,"Есть","Нет")</f>
        <v>#NAME?</v>
      </c>
    </row>
    <row r="62" customFormat="false" ht="15.75" hidden="false" customHeight="false" outlineLevel="0" collapsed="false">
      <c r="A62" s="1" t="s">
        <v>1141</v>
      </c>
      <c r="B62" s="1" t="n">
        <v>8</v>
      </c>
      <c r="C62" s="0" t="str">
        <f aca="false">IFERROR(__xludf.dummyfunction("SPLIT(A62,"" "")"),"Борисец")</f>
        <v>Борисец</v>
      </c>
      <c r="D62" s="0" t="str">
        <f aca="false">IFERROR(__xludf.dummyfunction("""COMPUTED_VALUE"""),"Анастасия")</f>
        <v>Анастасия</v>
      </c>
      <c r="E62" s="0" t="str">
        <f aca="false">IFERROR(__xludf.dummyfunction("""COMPUTED_VALUE"""),"Максимовна")</f>
        <v>Максимовна</v>
      </c>
      <c r="F62" s="22" t="e">
        <f aca="false" t="array" ref="F62:F62">IF(COUNTIF(concat(TRIM('Переформатированный ответ'!$B$169:$B$188),TRIM('Переформатированный ответ'!$C$169:$C$188)),concat(TRIM(C62),TRIM(D62))) &gt; 0,"Есть","Нет")</f>
        <v>#NAME?</v>
      </c>
    </row>
    <row r="63" customFormat="false" ht="15.75" hidden="false" customHeight="false" outlineLevel="0" collapsed="false">
      <c r="A63" s="1" t="s">
        <v>1142</v>
      </c>
      <c r="B63" s="1" t="n">
        <v>9</v>
      </c>
      <c r="C63" s="0" t="str">
        <f aca="false">IFERROR(__xludf.dummyfunction("SPLIT(A63,"" "")"),"Еремеев")</f>
        <v>Еремеев</v>
      </c>
      <c r="D63" s="0" t="str">
        <f aca="false">IFERROR(__xludf.dummyfunction("""COMPUTED_VALUE"""),"Андрей")</f>
        <v>Андрей</v>
      </c>
      <c r="F63" s="22" t="e">
        <f aca="false" t="array" ref="F63:F63">IF(COUNTIF(concat(TRIM('Переформатированный ответ'!$B$169:$B$188),TRIM('Переформатированный ответ'!$C$169:$C$188)),concat(TRIM(C63),TRIM(D63))) &gt; 0,"Есть","Нет")</f>
        <v>#NAME?</v>
      </c>
    </row>
    <row r="64" customFormat="false" ht="15.75" hidden="false" customHeight="false" outlineLevel="0" collapsed="false">
      <c r="A64" s="1" t="s">
        <v>1143</v>
      </c>
      <c r="B64" s="1" t="n">
        <v>7</v>
      </c>
      <c r="C64" s="0" t="str">
        <f aca="false">IFERROR(__xludf.dummyfunction("SPLIT(A64,"" "")"),"Перевальская")</f>
        <v>Перевальская</v>
      </c>
      <c r="D64" s="0" t="str">
        <f aca="false">IFERROR(__xludf.dummyfunction("""COMPUTED_VALUE"""),"Алёна")</f>
        <v>Алёна</v>
      </c>
      <c r="F64" s="22" t="e">
        <f aca="false" t="array" ref="F64:F64">IF(COUNTIF(concat(TRIM('Переформатированный ответ'!$B$169:$B$188),TRIM('Переформатированный ответ'!$C$169:$C$188)),concat(TRIM(C64),TRIM(D64))) &gt; 0,"Есть","Нет")</f>
        <v>#NAME?</v>
      </c>
    </row>
    <row r="65" customFormat="false" ht="15.75" hidden="false" customHeight="false" outlineLevel="0" collapsed="false">
      <c r="A65" s="1" t="s">
        <v>1144</v>
      </c>
      <c r="B65" s="1" t="n">
        <v>9</v>
      </c>
      <c r="C65" s="0" t="str">
        <f aca="false">IFERROR(__xludf.dummyfunction("SPLIT(A65,"" "")"),"Желнин")</f>
        <v>Желнин</v>
      </c>
      <c r="D65" s="0" t="str">
        <f aca="false">IFERROR(__xludf.dummyfunction("""COMPUTED_VALUE"""),"Максим")</f>
        <v>Максим</v>
      </c>
      <c r="E65" s="0" t="str">
        <f aca="false">IFERROR(__xludf.dummyfunction("""COMPUTED_VALUE"""),"Юрьевич")</f>
        <v>Юрьевич</v>
      </c>
      <c r="F65" s="22" t="e">
        <f aca="false" t="array" ref="F65:F65">IF(COUNTIF(concat(TRIM('Переформатированный ответ'!$B$169:$B$188),TRIM('Переформатированный ответ'!$C$169:$C$188)),concat(TRIM(C65),TRIM(D65))) &gt; 0,"Есть","Нет")</f>
        <v>#NAME?</v>
      </c>
    </row>
    <row r="66" customFormat="false" ht="15.75" hidden="false" customHeight="false" outlineLevel="0" collapsed="false">
      <c r="A66" s="1" t="s">
        <v>1145</v>
      </c>
      <c r="B66" s="1" t="n">
        <v>7</v>
      </c>
      <c r="C66" s="0" t="str">
        <f aca="false">IFERROR(__xludf.dummyfunction("SPLIT(A66,"" "")"),"Бочеева")</f>
        <v>Бочеева</v>
      </c>
      <c r="D66" s="0" t="str">
        <f aca="false">IFERROR(__xludf.dummyfunction("""COMPUTED_VALUE"""),"Ульяна")</f>
        <v>Ульяна</v>
      </c>
      <c r="E66" s="0" t="str">
        <f aca="false">IFERROR(__xludf.dummyfunction("""COMPUTED_VALUE"""),"Павловна")</f>
        <v>Павловна</v>
      </c>
      <c r="F66" s="22" t="e">
        <f aca="false" t="array" ref="F66:F66">IF(COUNTIF(concat(TRIM('Переформатированный ответ'!$B$169:$B$188),TRIM('Переформатированный ответ'!$C$169:$C$188)),concat(TRIM(C66),TRIM(D66))) &gt; 0,"Есть","Нет")</f>
        <v>#NAME?</v>
      </c>
    </row>
    <row r="67" customFormat="false" ht="15.75" hidden="false" customHeight="false" outlineLevel="0" collapsed="false">
      <c r="A67" s="1" t="s">
        <v>1146</v>
      </c>
      <c r="B67" s="1" t="n">
        <v>5</v>
      </c>
      <c r="C67" s="0" t="str">
        <f aca="false">IFERROR(__xludf.dummyfunction("SPLIT(A67,"" "")"),"Темникова")</f>
        <v>Темникова</v>
      </c>
      <c r="D67" s="0" t="str">
        <f aca="false">IFERROR(__xludf.dummyfunction("""COMPUTED_VALUE"""),"Дарья")</f>
        <v>Дарья</v>
      </c>
      <c r="E67" s="0" t="str">
        <f aca="false">IFERROR(__xludf.dummyfunction("""COMPUTED_VALUE"""),"Вячеславовна")</f>
        <v>Вячеславовна</v>
      </c>
      <c r="F67" s="22" t="e">
        <f aca="false" t="array" ref="F67:F67">IF(COUNTIF(concat(TRIM('Переформатированный ответ'!$B$169:$B$188),TRIM('Переформатированный ответ'!$C$169:$C$188)),concat(TRIM(C67),TRIM(D67))) &gt; 0,"Есть","Нет")</f>
        <v>#NAME?</v>
      </c>
    </row>
    <row r="68" customFormat="false" ht="15.75" hidden="false" customHeight="false" outlineLevel="0" collapsed="false">
      <c r="A68" s="1" t="s">
        <v>1147</v>
      </c>
      <c r="B68" s="1" t="n">
        <v>7</v>
      </c>
      <c r="C68" s="0" t="str">
        <f aca="false">IFERROR(__xludf.dummyfunction("SPLIT(A68,"" "")"),"Кузнецов")</f>
        <v>Кузнецов</v>
      </c>
      <c r="D68" s="0" t="str">
        <f aca="false">IFERROR(__xludf.dummyfunction("""COMPUTED_VALUE"""),"Данил")</f>
        <v>Данил</v>
      </c>
      <c r="E68" s="0" t="str">
        <f aca="false">IFERROR(__xludf.dummyfunction("""COMPUTED_VALUE"""),"Олегович")</f>
        <v>Олегович</v>
      </c>
      <c r="F68" s="22" t="e">
        <f aca="false" t="array" ref="F68:F68">IF(COUNTIF(concat(TRIM('Переформатированный ответ'!$B$169:$B$188),TRIM('Переформатированный ответ'!$C$169:$C$188)),concat(TRIM(C68),TRIM(D68))) &gt; 0,"Есть","Нет")</f>
        <v>#NAME?</v>
      </c>
    </row>
    <row r="69" customFormat="false" ht="15.75" hidden="false" customHeight="false" outlineLevel="0" collapsed="false">
      <c r="A69" s="1" t="s">
        <v>1148</v>
      </c>
      <c r="B69" s="1" t="n">
        <v>5</v>
      </c>
      <c r="C69" s="0" t="str">
        <f aca="false">IFERROR(__xludf.dummyfunction("SPLIT(A69,"" "")"),"Адам")</f>
        <v>Адам</v>
      </c>
      <c r="D69" s="0" t="str">
        <f aca="false">IFERROR(__xludf.dummyfunction("""COMPUTED_VALUE"""),"Адлет")</f>
        <v>Адлет</v>
      </c>
      <c r="E69" s="0" t="str">
        <f aca="false">IFERROR(__xludf.dummyfunction("""COMPUTED_VALUE"""),"Берген-улы")</f>
        <v>Берген-улы</v>
      </c>
      <c r="F69" s="22" t="e">
        <f aca="false" t="array" ref="F69:F69">IF(COUNTIF(concat(TRIM('Переформатированный ответ'!$B$169:$B$188),TRIM('Переформатированный ответ'!$C$169:$C$188)),concat(TRIM(C69),TRIM(D69))) &gt; 0,"Есть","Нет")</f>
        <v>#NAME?</v>
      </c>
    </row>
    <row r="70" customFormat="false" ht="15.75" hidden="false" customHeight="false" outlineLevel="0" collapsed="false">
      <c r="A70" s="1" t="s">
        <v>1149</v>
      </c>
      <c r="B70" s="1" t="n">
        <v>5</v>
      </c>
      <c r="C70" s="0" t="str">
        <f aca="false">IFERROR(__xludf.dummyfunction("SPLIT(A70,"" "")"),"Тюменцева")</f>
        <v>Тюменцева</v>
      </c>
      <c r="D70" s="0" t="str">
        <f aca="false">IFERROR(__xludf.dummyfunction("""COMPUTED_VALUE"""),"Полина")</f>
        <v>Полина</v>
      </c>
      <c r="F70" s="22" t="e">
        <f aca="false" t="array" ref="F70:F70">IF(COUNTIF(concat(TRIM('Переформатированный ответ'!$B$169:$B$188),TRIM('Переформатированный ответ'!$C$169:$C$188)),concat(TRIM(C70),TRIM(D70))) &gt; 0,"Есть","Нет")</f>
        <v>#NAME?</v>
      </c>
    </row>
    <row r="71" customFormat="false" ht="15.75" hidden="false" customHeight="false" outlineLevel="0" collapsed="false">
      <c r="A71" s="1" t="s">
        <v>1150</v>
      </c>
      <c r="B71" s="1" t="n">
        <v>5</v>
      </c>
      <c r="C71" s="0" t="str">
        <f aca="false">IFERROR(__xludf.dummyfunction("SPLIT(A71,"" "")"),"Рогоза")</f>
        <v>Рогоза</v>
      </c>
      <c r="D71" s="0" t="str">
        <f aca="false">IFERROR(__xludf.dummyfunction("""COMPUTED_VALUE"""),"Владислав")</f>
        <v>Владислав</v>
      </c>
      <c r="E71" s="0" t="str">
        <f aca="false">IFERROR(__xludf.dummyfunction("""COMPUTED_VALUE"""),"Юрьевич")</f>
        <v>Юрьевич</v>
      </c>
      <c r="F71" s="22" t="e">
        <f aca="false" t="array" ref="F71:F71">IF(COUNTIF(concat(TRIM('Переформатированный ответ'!$B$169:$B$188),TRIM('Переформатированный ответ'!$C$169:$C$188)),concat(TRIM(C71),TRIM(D71))) &gt; 0,"Есть","Нет")</f>
        <v>#NAME?</v>
      </c>
    </row>
    <row r="72" customFormat="false" ht="15.75" hidden="false" customHeight="false" outlineLevel="0" collapsed="false">
      <c r="A72" s="1" t="s">
        <v>1151</v>
      </c>
      <c r="B72" s="1" t="n">
        <v>8</v>
      </c>
      <c r="C72" s="0" t="str">
        <f aca="false">IFERROR(__xludf.dummyfunction("SPLIT(A72,"" "")"),"Калушина")</f>
        <v>Калушина</v>
      </c>
      <c r="D72" s="0" t="str">
        <f aca="false">IFERROR(__xludf.dummyfunction("""COMPUTED_VALUE"""),"Екатерина")</f>
        <v>Екатерина</v>
      </c>
      <c r="E72" s="0" t="str">
        <f aca="false">IFERROR(__xludf.dummyfunction("""COMPUTED_VALUE"""),"Дмитриевна")</f>
        <v>Дмитриевна</v>
      </c>
      <c r="F72" s="22" t="e">
        <f aca="false" t="array" ref="F72:F72">IF(COUNTIF(concat(TRIM('Переформатированный ответ'!$B$169:$B$188),TRIM('Переформатированный ответ'!$C$169:$C$188)),concat(TRIM(C72),TRIM(D72))) &gt; 0,"Есть","Нет")</f>
        <v>#NAME?</v>
      </c>
    </row>
    <row r="73" customFormat="false" ht="15.75" hidden="false" customHeight="false" outlineLevel="0" collapsed="false">
      <c r="A73" s="1" t="s">
        <v>1152</v>
      </c>
      <c r="B73" s="1" t="n">
        <v>6</v>
      </c>
      <c r="C73" s="0" t="str">
        <f aca="false">IFERROR(__xludf.dummyfunction("SPLIT(A73,"" "")"),"Кано")</f>
        <v>Кано</v>
      </c>
      <c r="D73" s="0" t="str">
        <f aca="false">IFERROR(__xludf.dummyfunction("""COMPUTED_VALUE"""),"Максим")</f>
        <v>Максим</v>
      </c>
      <c r="E73" s="0" t="str">
        <f aca="false">IFERROR(__xludf.dummyfunction("""COMPUTED_VALUE"""),"Игорьевич")</f>
        <v>Игорьевич</v>
      </c>
      <c r="F73" s="22" t="e">
        <f aca="false" t="array" ref="F73:F73">IF(COUNTIF(concat(TRIM('Переформатированный ответ'!$B$169:$B$188),TRIM('Переформатированный ответ'!$C$169:$C$188)),concat(TRIM(C73),TRIM(D73))) &gt; 0,"Есть","Нет")</f>
        <v>#NAME?</v>
      </c>
    </row>
    <row r="74" customFormat="false" ht="15.75" hidden="false" customHeight="false" outlineLevel="0" collapsed="false">
      <c r="A74" s="1" t="s">
        <v>1153</v>
      </c>
      <c r="B74" s="1" t="n">
        <v>8</v>
      </c>
      <c r="C74" s="0" t="str">
        <f aca="false">IFERROR(__xludf.dummyfunction("SPLIT(A74,"" "")"),"Каширская")</f>
        <v>Каширская</v>
      </c>
      <c r="D74" s="0" t="str">
        <f aca="false">IFERROR(__xludf.dummyfunction("""COMPUTED_VALUE"""),"Виктория")</f>
        <v>Виктория</v>
      </c>
      <c r="E74" s="0" t="str">
        <f aca="false">IFERROR(__xludf.dummyfunction("""COMPUTED_VALUE"""),"Станиславовна")</f>
        <v>Станиславовна</v>
      </c>
      <c r="F74" s="22" t="e">
        <f aca="false" t="array" ref="F74:F74">IF(COUNTIF(concat(TRIM('Переформатированный ответ'!$B$169:$B$188),TRIM('Переформатированный ответ'!$C$169:$C$188)),concat(TRIM(C74),TRIM(D74))) &gt; 0,"Есть","Нет")</f>
        <v>#NAME?</v>
      </c>
    </row>
    <row r="75" customFormat="false" ht="15.75" hidden="false" customHeight="false" outlineLevel="0" collapsed="false">
      <c r="A75" s="1" t="s">
        <v>1154</v>
      </c>
      <c r="B75" s="1" t="n">
        <v>7</v>
      </c>
      <c r="C75" s="0" t="str">
        <f aca="false">IFERROR(__xludf.dummyfunction("SPLIT(A75,"" "")"),"Козин")</f>
        <v>Козин</v>
      </c>
      <c r="D75" s="0" t="str">
        <f aca="false">IFERROR(__xludf.dummyfunction("""COMPUTED_VALUE"""),"Игорь")</f>
        <v>Игорь</v>
      </c>
      <c r="E75" s="0" t="str">
        <f aca="false">IFERROR(__xludf.dummyfunction("""COMPUTED_VALUE"""),"Витальевич")</f>
        <v>Витальевич</v>
      </c>
      <c r="F75" s="22" t="e">
        <f aca="false" t="array" ref="F75:F75">IF(COUNTIF(concat(TRIM('Переформатированный ответ'!$B$169:$B$188),TRIM('Переформатированный ответ'!$C$169:$C$188)),concat(TRIM(C75),TRIM(D75))) &gt; 0,"Есть","Нет")</f>
        <v>#NAME?</v>
      </c>
    </row>
    <row r="76" customFormat="false" ht="15.75" hidden="false" customHeight="false" outlineLevel="0" collapsed="false">
      <c r="A76" s="1" t="s">
        <v>1155</v>
      </c>
      <c r="B76" s="1" t="n">
        <v>10</v>
      </c>
      <c r="C76" s="0" t="str">
        <f aca="false">IFERROR(__xludf.dummyfunction("SPLIT(A76,"" "")"),"Иванов	Алексей")</f>
        <v>Иванов	Алексей</v>
      </c>
      <c r="D76" s="0" t="str">
        <f aca="false">IFERROR(__xludf.dummyfunction("""COMPUTED_VALUE"""),"	Николаевич")</f>
        <v>Николаевич</v>
      </c>
      <c r="F76" s="22" t="e">
        <f aca="false" t="array" ref="F76:F76">IF(COUNTIF(concat(TRIM('Переформатированный ответ'!$B$169:$B$188),TRIM('Переформатированный ответ'!$C$169:$C$188)),concat(TRIM(C76),TRIM(D76))) &gt; 0,"Есть","Нет")</f>
        <v>#NAME?</v>
      </c>
    </row>
    <row r="77" customFormat="false" ht="15.75" hidden="false" customHeight="false" outlineLevel="0" collapsed="false">
      <c r="A77" s="1" t="s">
        <v>1156</v>
      </c>
      <c r="B77" s="1" t="n">
        <v>8</v>
      </c>
      <c r="C77" s="0" t="str">
        <f aca="false">IFERROR(__xludf.dummyfunction("SPLIT(A77,"" "")"),"Полищук")</f>
        <v>Полищук</v>
      </c>
      <c r="D77" s="0" t="str">
        <f aca="false">IFERROR(__xludf.dummyfunction("""COMPUTED_VALUE"""),"Мария")</f>
        <v>Мария</v>
      </c>
      <c r="E77" s="0" t="str">
        <f aca="false">IFERROR(__xludf.dummyfunction("""COMPUTED_VALUE"""),"Вячеславовна")</f>
        <v>Вячеславовна</v>
      </c>
      <c r="F77" s="22" t="e">
        <f aca="false" t="array" ref="F77:F77">IF(COUNTIF(concat(TRIM('Переформатированный ответ'!$B$169:$B$188),TRIM('Переформатированный ответ'!$C$169:$C$188)),concat(TRIM(C77),TRIM(D77))) &gt; 0,"Есть","Нет")</f>
        <v>#NAME?</v>
      </c>
    </row>
    <row r="78" customFormat="false" ht="15.75" hidden="false" customHeight="false" outlineLevel="0" collapsed="false">
      <c r="A78" s="1" t="s">
        <v>1157</v>
      </c>
      <c r="B78" s="1" t="n">
        <v>8</v>
      </c>
      <c r="C78" s="0" t="str">
        <f aca="false">IFERROR(__xludf.dummyfunction("SPLIT(A78,"" "")"),"Хлыбова")</f>
        <v>Хлыбова</v>
      </c>
      <c r="D78" s="0" t="str">
        <f aca="false">IFERROR(__xludf.dummyfunction("""COMPUTED_VALUE"""),"Екатерина")</f>
        <v>Екатерина</v>
      </c>
      <c r="E78" s="0" t="str">
        <f aca="false">IFERROR(__xludf.dummyfunction("""COMPUTED_VALUE"""),"Сергеевна")</f>
        <v>Сергеевна</v>
      </c>
      <c r="F78" s="22" t="e">
        <f aca="false" t="array" ref="F78:F78">IF(COUNTIF(concat(TRIM('Переформатированный ответ'!$B$169:$B$188),TRIM('Переформатированный ответ'!$C$169:$C$188)),concat(TRIM(C78),TRIM(D78))) &gt; 0,"Есть","Нет")</f>
        <v>#NAME?</v>
      </c>
    </row>
    <row r="79" customFormat="false" ht="15.75" hidden="false" customHeight="false" outlineLevel="0" collapsed="false">
      <c r="A79" s="1" t="s">
        <v>1158</v>
      </c>
      <c r="B79" s="1" t="n">
        <v>8</v>
      </c>
      <c r="C79" s="0" t="str">
        <f aca="false">IFERROR(__xludf.dummyfunction("SPLIT(A79,"" "")"),"Никоноров")</f>
        <v>Никоноров</v>
      </c>
      <c r="D79" s="0" t="str">
        <f aca="false">IFERROR(__xludf.dummyfunction("""COMPUTED_VALUE"""),"Максим")</f>
        <v>Максим</v>
      </c>
      <c r="E79" s="0" t="str">
        <f aca="false">IFERROR(__xludf.dummyfunction("""COMPUTED_VALUE"""),"Юрьевич")</f>
        <v>Юрьевич</v>
      </c>
      <c r="F79" s="22" t="e">
        <f aca="false" t="array" ref="F79:F79">IF(COUNTIF(concat(TRIM('Переформатированный ответ'!$B$169:$B$188),TRIM('Переформатированный ответ'!$C$169:$C$188)),concat(TRIM(C79),TRIM(D79))) &gt; 0,"Есть","Нет")</f>
        <v>#NAME?</v>
      </c>
    </row>
    <row r="80" customFormat="false" ht="15.75" hidden="false" customHeight="false" outlineLevel="0" collapsed="false">
      <c r="A80" s="1" t="s">
        <v>1159</v>
      </c>
      <c r="B80" s="1" t="n">
        <v>6</v>
      </c>
      <c r="C80" s="0" t="str">
        <f aca="false">IFERROR(__xludf.dummyfunction("SPLIT(A80,"" "")"),"Раевский")</f>
        <v>Раевский</v>
      </c>
      <c r="D80" s="0" t="str">
        <f aca="false">IFERROR(__xludf.dummyfunction("""COMPUTED_VALUE"""),"Антон")</f>
        <v>Антон</v>
      </c>
      <c r="E80" s="0" t="str">
        <f aca="false">IFERROR(__xludf.dummyfunction("""COMPUTED_VALUE"""),"Михайлович")</f>
        <v>Михайлович</v>
      </c>
      <c r="F80" s="22" t="e">
        <f aca="false" t="array" ref="F80:F80">IF(COUNTIF(concat(TRIM('Переформатированный ответ'!$B$169:$B$188),TRIM('Переформатированный ответ'!$C$169:$C$188)),concat(TRIM(C80),TRIM(D80))) &gt; 0,"Есть","Нет")</f>
        <v>#NAME?</v>
      </c>
    </row>
    <row r="81" customFormat="false" ht="15.75" hidden="false" customHeight="false" outlineLevel="0" collapsed="false">
      <c r="A81" s="1" t="s">
        <v>1160</v>
      </c>
      <c r="B81" s="1" t="n">
        <v>10</v>
      </c>
      <c r="C81" s="0" t="str">
        <f aca="false">IFERROR(__xludf.dummyfunction("SPLIT(A81,"" "")"),"Морозов")</f>
        <v>Морозов</v>
      </c>
      <c r="D81" s="0" t="str">
        <f aca="false">IFERROR(__xludf.dummyfunction("""COMPUTED_VALUE"""),"Дмитрий")</f>
        <v>Дмитрий</v>
      </c>
      <c r="E81" s="0" t="str">
        <f aca="false">IFERROR(__xludf.dummyfunction("""COMPUTED_VALUE"""),"Владимирович")</f>
        <v>Владимирович</v>
      </c>
      <c r="F81" s="22" t="e">
        <f aca="false" t="array" ref="F81:F81">IF(COUNTIF(concat(TRIM('Переформатированный ответ'!$B$169:$B$188),TRIM('Переформатированный ответ'!$C$169:$C$188)),concat(TRIM(C81),TRIM(D81))) &gt; 0,"Есть","Нет")</f>
        <v>#NAME?</v>
      </c>
    </row>
    <row r="82" customFormat="false" ht="15.75" hidden="false" customHeight="false" outlineLevel="0" collapsed="false">
      <c r="A82" s="1" t="s">
        <v>1161</v>
      </c>
      <c r="B82" s="1" t="n">
        <v>8</v>
      </c>
      <c r="C82" s="0" t="str">
        <f aca="false">IFERROR(__xludf.dummyfunction("SPLIT(A82,"" "")"),"Егорова")</f>
        <v>Егорова</v>
      </c>
      <c r="D82" s="0" t="str">
        <f aca="false">IFERROR(__xludf.dummyfunction("""COMPUTED_VALUE"""),"Софья")</f>
        <v>Софья</v>
      </c>
      <c r="E82" s="0" t="str">
        <f aca="false">IFERROR(__xludf.dummyfunction("""COMPUTED_VALUE"""),"Борисовна")</f>
        <v>Борисовна</v>
      </c>
      <c r="F82" s="22" t="e">
        <f aca="false" t="array" ref="F82:F82">IF(COUNTIF(concat(TRIM('Переформатированный ответ'!$B$169:$B$188),TRIM('Переформатированный ответ'!$C$169:$C$188)),concat(TRIM(C82),TRIM(D82))) &gt; 0,"Есть","Нет")</f>
        <v>#NAME?</v>
      </c>
    </row>
    <row r="83" customFormat="false" ht="15.75" hidden="false" customHeight="false" outlineLevel="0" collapsed="false">
      <c r="A83" s="1" t="s">
        <v>1162</v>
      </c>
      <c r="B83" s="1" t="n">
        <v>5</v>
      </c>
      <c r="C83" s="0" t="str">
        <f aca="false">IFERROR(__xludf.dummyfunction("SPLIT(A83,"" "")"),"Ермолаева")</f>
        <v>Ермолаева</v>
      </c>
      <c r="D83" s="0" t="str">
        <f aca="false">IFERROR(__xludf.dummyfunction("""COMPUTED_VALUE"""),"Николь")</f>
        <v>Николь</v>
      </c>
      <c r="F83" s="22" t="e">
        <f aca="false" t="array" ref="F83:F83">IF(COUNTIF(concat(TRIM('Переформатированный ответ'!$B$169:$B$188),TRIM('Переформатированный ответ'!$C$169:$C$188)),concat(TRIM(C83),TRIM(D83))) &gt; 0,"Есть","Нет")</f>
        <v>#NAME?</v>
      </c>
    </row>
    <row r="84" customFormat="false" ht="15.75" hidden="false" customHeight="false" outlineLevel="0" collapsed="false">
      <c r="A84" s="1" t="s">
        <v>1163</v>
      </c>
      <c r="B84" s="1" t="n">
        <v>6</v>
      </c>
      <c r="C84" s="0" t="str">
        <f aca="false">IFERROR(__xludf.dummyfunction("SPLIT(A84,"" "")"),"Карнаухова")</f>
        <v>Карнаухова</v>
      </c>
      <c r="D84" s="0" t="str">
        <f aca="false">IFERROR(__xludf.dummyfunction("""COMPUTED_VALUE"""),"Кристина")</f>
        <v>Кристина</v>
      </c>
      <c r="E84" s="0" t="str">
        <f aca="false">IFERROR(__xludf.dummyfunction("""COMPUTED_VALUE"""),"Анатольевна")</f>
        <v>Анатольевна</v>
      </c>
      <c r="F84" s="22" t="e">
        <f aca="false" t="array" ref="F84:F84">IF(COUNTIF(concat(TRIM('Переформатированный ответ'!$B$169:$B$188),TRIM('Переформатированный ответ'!$C$169:$C$188)),concat(TRIM(C84),TRIM(D84))) &gt; 0,"Есть","Нет")</f>
        <v>#NAME?</v>
      </c>
    </row>
    <row r="85" customFormat="false" ht="15.75" hidden="false" customHeight="false" outlineLevel="0" collapsed="false">
      <c r="A85" s="1" t="s">
        <v>1164</v>
      </c>
      <c r="B85" s="1" t="n">
        <v>5</v>
      </c>
      <c r="C85" s="0" t="str">
        <f aca="false">IFERROR(__xludf.dummyfunction("SPLIT(A85,"" "")"),"Литвиненко")</f>
        <v>Литвиненко</v>
      </c>
      <c r="D85" s="0" t="str">
        <f aca="false">IFERROR(__xludf.dummyfunction("""COMPUTED_VALUE"""),"Александра")</f>
        <v>Александра</v>
      </c>
      <c r="F85" s="22" t="e">
        <f aca="false" t="array" ref="F85:F85">IF(COUNTIF(concat(TRIM('Переформатированный ответ'!$B$169:$B$188),TRIM('Переформатированный ответ'!$C$169:$C$188)),concat(TRIM(C85),TRIM(D85))) &gt; 0,"Есть","Нет")</f>
        <v>#NAME?</v>
      </c>
    </row>
    <row r="86" customFormat="false" ht="15.75" hidden="false" customHeight="false" outlineLevel="0" collapsed="false">
      <c r="A86" s="1" t="s">
        <v>1165</v>
      </c>
      <c r="B86" s="1" t="n">
        <v>10</v>
      </c>
      <c r="C86" s="0" t="str">
        <f aca="false">IFERROR(__xludf.dummyfunction("SPLIT(A86,"" "")"),"Киямова")</f>
        <v>Киямова</v>
      </c>
      <c r="D86" s="0" t="str">
        <f aca="false">IFERROR(__xludf.dummyfunction("""COMPUTED_VALUE"""),"Наиля")</f>
        <v>Наиля</v>
      </c>
      <c r="E86" s="0" t="str">
        <f aca="false">IFERROR(__xludf.dummyfunction("""COMPUTED_VALUE"""),"Ринатовна")</f>
        <v>Ринатовна</v>
      </c>
      <c r="F86" s="22" t="e">
        <f aca="false" t="array" ref="F86:F86">IF(COUNTIF(concat(TRIM('Переформатированный ответ'!$B$169:$B$188),TRIM('Переформатированный ответ'!$C$169:$C$188)),concat(TRIM(C86),TRIM(D86))) &gt; 0,"Есть","Нет")</f>
        <v>#NAME?</v>
      </c>
    </row>
    <row r="87" customFormat="false" ht="15.75" hidden="false" customHeight="false" outlineLevel="0" collapsed="false">
      <c r="A87" s="1" t="s">
        <v>1166</v>
      </c>
      <c r="B87" s="1" t="n">
        <v>5</v>
      </c>
      <c r="C87" s="0" t="str">
        <f aca="false">IFERROR(__xludf.dummyfunction("SPLIT(A87,"" "")"),"Гайкалов")</f>
        <v>Гайкалов</v>
      </c>
      <c r="D87" s="0" t="str">
        <f aca="false">IFERROR(__xludf.dummyfunction("""COMPUTED_VALUE"""),"Максим")</f>
        <v>Максим</v>
      </c>
      <c r="E87" s="0" t="str">
        <f aca="false">IFERROR(__xludf.dummyfunction("""COMPUTED_VALUE"""),"Сергеевич")</f>
        <v>Сергеевич</v>
      </c>
      <c r="F87" s="22" t="e">
        <f aca="false" t="array" ref="F87:F87">IF(COUNTIF(concat(TRIM('Переформатированный ответ'!$B$169:$B$188),TRIM('Переформатированный ответ'!$C$169:$C$188)),concat(TRIM(C87),TRIM(D87))) &gt; 0,"Есть","Нет")</f>
        <v>#NAME?</v>
      </c>
    </row>
    <row r="88" customFormat="false" ht="15.75" hidden="false" customHeight="false" outlineLevel="0" collapsed="false">
      <c r="A88" s="1" t="s">
        <v>1167</v>
      </c>
      <c r="B88" s="1" t="n">
        <v>7</v>
      </c>
      <c r="C88" s="0" t="str">
        <f aca="false">IFERROR(__xludf.dummyfunction("SPLIT(A88,"" "")"),"Сухоруков")</f>
        <v>Сухоруков</v>
      </c>
      <c r="D88" s="0" t="str">
        <f aca="false">IFERROR(__xludf.dummyfunction("""COMPUTED_VALUE"""),"Глеб")</f>
        <v>Глеб</v>
      </c>
      <c r="E88" s="0" t="str">
        <f aca="false">IFERROR(__xludf.dummyfunction("""COMPUTED_VALUE"""),"Константинович")</f>
        <v>Константинович</v>
      </c>
      <c r="F88" s="22" t="e">
        <f aca="false" t="array" ref="F88:F88">IF(COUNTIF(concat(TRIM('Переформатированный ответ'!$B$169:$B$188),TRIM('Переформатированный ответ'!$C$169:$C$188)),concat(TRIM(C88),TRIM(D88))) &gt; 0,"Есть","Нет")</f>
        <v>#NAME?</v>
      </c>
    </row>
    <row r="89" customFormat="false" ht="15.75" hidden="false" customHeight="false" outlineLevel="0" collapsed="false">
      <c r="A89" s="1" t="s">
        <v>1168</v>
      </c>
      <c r="B89" s="1" t="n">
        <v>8</v>
      </c>
      <c r="C89" s="0" t="str">
        <f aca="false">IFERROR(__xludf.dummyfunction("SPLIT(A89,"" "")"),"Триколе")</f>
        <v>Триколе</v>
      </c>
      <c r="D89" s="0" t="str">
        <f aca="false">IFERROR(__xludf.dummyfunction("""COMPUTED_VALUE"""),"Максим")</f>
        <v>Максим</v>
      </c>
      <c r="F89" s="22" t="e">
        <f aca="false" t="array" ref="F89:F89">IF(COUNTIF(concat(TRIM('Переформатированный ответ'!$B$169:$B$188),TRIM('Переформатированный ответ'!$C$169:$C$188)),concat(TRIM(C89),TRIM(D89))) &gt; 0,"Есть","Нет")</f>
        <v>#NAME?</v>
      </c>
    </row>
    <row r="90" customFormat="false" ht="15.75" hidden="false" customHeight="false" outlineLevel="0" collapsed="false">
      <c r="A90" s="1" t="s">
        <v>1169</v>
      </c>
      <c r="B90" s="1" t="n">
        <v>9</v>
      </c>
      <c r="C90" s="0" t="str">
        <f aca="false">IFERROR(__xludf.dummyfunction("SPLIT(A90,"" "")"),"Шуляков")</f>
        <v>Шуляков</v>
      </c>
      <c r="D90" s="0" t="str">
        <f aca="false">IFERROR(__xludf.dummyfunction("""COMPUTED_VALUE"""),"Глеб")</f>
        <v>Глеб</v>
      </c>
      <c r="E90" s="0" t="str">
        <f aca="false">IFERROR(__xludf.dummyfunction("""COMPUTED_VALUE"""),"Олегович")</f>
        <v>Олегович</v>
      </c>
      <c r="F90" s="22" t="e">
        <f aca="false" t="array" ref="F90:F90">IF(COUNTIF(concat(TRIM('Переформатированный ответ'!$B$169:$B$188),TRIM('Переформатированный ответ'!$C$169:$C$188)),concat(TRIM(C90),TRIM(D90))) &gt; 0,"Есть","Нет")</f>
        <v>#NAME?</v>
      </c>
    </row>
    <row r="91" customFormat="false" ht="15.75" hidden="false" customHeight="false" outlineLevel="0" collapsed="false">
      <c r="A91" s="1" t="s">
        <v>1170</v>
      </c>
      <c r="B91" s="1" t="n">
        <v>5</v>
      </c>
      <c r="C91" s="0" t="str">
        <f aca="false">IFERROR(__xludf.dummyfunction("SPLIT(A91,"" "")"),"Гранкин")</f>
        <v>Гранкин</v>
      </c>
      <c r="D91" s="0" t="str">
        <f aca="false">IFERROR(__xludf.dummyfunction("""COMPUTED_VALUE"""),"Никита")</f>
        <v>Никита</v>
      </c>
      <c r="E91" s="0" t="str">
        <f aca="false">IFERROR(__xludf.dummyfunction("""COMPUTED_VALUE"""),"Алексеевич")</f>
        <v>Алексеевич</v>
      </c>
      <c r="F91" s="22" t="e">
        <f aca="false" t="array" ref="F91:F91">IF(COUNTIF(concat(TRIM('Переформатированный ответ'!$B$169:$B$188),TRIM('Переформатированный ответ'!$C$169:$C$188)),concat(TRIM(C91),TRIM(D91))) &gt; 0,"Есть","Нет")</f>
        <v>#NAME?</v>
      </c>
    </row>
    <row r="92" customFormat="false" ht="15.75" hidden="false" customHeight="false" outlineLevel="0" collapsed="false">
      <c r="A92" s="1" t="s">
        <v>1171</v>
      </c>
      <c r="B92" s="1" t="n">
        <v>5</v>
      </c>
      <c r="C92" s="0" t="str">
        <f aca="false">IFERROR(__xludf.dummyfunction("SPLIT(A92,"" "")"),"Голицына")</f>
        <v>Голицына</v>
      </c>
      <c r="D92" s="0" t="str">
        <f aca="false">IFERROR(__xludf.dummyfunction("""COMPUTED_VALUE"""),"Александра")</f>
        <v>Александра</v>
      </c>
      <c r="E92" s="0" t="str">
        <f aca="false">IFERROR(__xludf.dummyfunction("""COMPUTED_VALUE"""),"Артемовна")</f>
        <v>Артемовна</v>
      </c>
      <c r="F92" s="22" t="e">
        <f aca="false" t="array" ref="F92:F92">IF(COUNTIF(concat(TRIM('Переформатированный ответ'!$B$169:$B$188),TRIM('Переформатированный ответ'!$C$169:$C$188)),concat(TRIM(C92),TRIM(D92))) &gt; 0,"Есть","Нет")</f>
        <v>#NAME?</v>
      </c>
    </row>
    <row r="93" customFormat="false" ht="15.75" hidden="false" customHeight="false" outlineLevel="0" collapsed="false">
      <c r="A93" s="1" t="s">
        <v>1172</v>
      </c>
      <c r="B93" s="1" t="n">
        <v>7</v>
      </c>
      <c r="C93" s="0" t="str">
        <f aca="false">IFERROR(__xludf.dummyfunction("SPLIT(A93,"" "")"),"Голицына")</f>
        <v>Голицына</v>
      </c>
      <c r="D93" s="0" t="str">
        <f aca="false">IFERROR(__xludf.dummyfunction("""COMPUTED_VALUE"""),"Анастасия")</f>
        <v>Анастасия</v>
      </c>
      <c r="F93" s="22" t="e">
        <f aca="false" t="array" ref="F93:F93">IF(COUNTIF(concat(TRIM('Переформатированный ответ'!$B$169:$B$188),TRIM('Переформатированный ответ'!$C$169:$C$188)),concat(TRIM(C93),TRIM(D93))) &gt; 0,"Есть","Нет")</f>
        <v>#NAME?</v>
      </c>
    </row>
    <row r="94" customFormat="false" ht="15.75" hidden="false" customHeight="false" outlineLevel="0" collapsed="false">
      <c r="A94" s="1" t="s">
        <v>1173</v>
      </c>
      <c r="B94" s="1" t="n">
        <v>5</v>
      </c>
      <c r="C94" s="0" t="str">
        <f aca="false">IFERROR(__xludf.dummyfunction("SPLIT(A94,"" "")"),"Конычев")</f>
        <v>Конычев</v>
      </c>
      <c r="D94" s="0" t="str">
        <f aca="false">IFERROR(__xludf.dummyfunction("""COMPUTED_VALUE"""),"Арсений")</f>
        <v>Арсений</v>
      </c>
      <c r="E94" s="0" t="str">
        <f aca="false">IFERROR(__xludf.dummyfunction("""COMPUTED_VALUE"""),"Сергеевич")</f>
        <v>Сергеевич</v>
      </c>
      <c r="F94" s="22" t="e">
        <f aca="false" t="array" ref="F94:F94">IF(COUNTIF(concat(TRIM('Переформатированный ответ'!$B$169:$B$188),TRIM('Переформатированный ответ'!$C$169:$C$188)),concat(TRIM(C94),TRIM(D94))) &gt; 0,"Есть","Нет")</f>
        <v>#NAME?</v>
      </c>
    </row>
    <row r="95" customFormat="false" ht="15.75" hidden="false" customHeight="false" outlineLevel="0" collapsed="false">
      <c r="A95" s="1" t="s">
        <v>1174</v>
      </c>
      <c r="B95" s="1" t="n">
        <v>7</v>
      </c>
      <c r="C95" s="0" t="str">
        <f aca="false">IFERROR(__xludf.dummyfunction("SPLIT(A95,"" "")"),"Ушакова")</f>
        <v>Ушакова</v>
      </c>
      <c r="D95" s="0" t="str">
        <f aca="false">IFERROR(__xludf.dummyfunction("""COMPUTED_VALUE"""),"Любовь")</f>
        <v>Любовь</v>
      </c>
      <c r="F95" s="22" t="e">
        <f aca="false" t="array" ref="F95:F95">IF(COUNTIF(concat(TRIM('Переформатированный ответ'!$B$169:$B$188),TRIM('Переформатированный ответ'!$C$169:$C$188)),concat(TRIM(C95),TRIM(D95))) &gt; 0,"Есть","Нет")</f>
        <v>#NAME?</v>
      </c>
    </row>
    <row r="96" customFormat="false" ht="15.75" hidden="false" customHeight="false" outlineLevel="0" collapsed="false">
      <c r="A96" s="1" t="s">
        <v>1175</v>
      </c>
      <c r="B96" s="1" t="n">
        <v>10</v>
      </c>
      <c r="C96" s="0" t="str">
        <f aca="false">IFERROR(__xludf.dummyfunction("SPLIT(A96,"" "")"),"Привалова")</f>
        <v>Привалова</v>
      </c>
      <c r="D96" s="0" t="str">
        <f aca="false">IFERROR(__xludf.dummyfunction("""COMPUTED_VALUE"""),"Александра")</f>
        <v>Александра</v>
      </c>
      <c r="E96" s="0" t="str">
        <f aca="false">IFERROR(__xludf.dummyfunction("""COMPUTED_VALUE"""),"Станиславовна")</f>
        <v>Станиславовна</v>
      </c>
      <c r="F96" s="22" t="e">
        <f aca="false" t="array" ref="F96:F96">IF(COUNTIF(concat(TRIM('Переформатированный ответ'!$B$169:$B$188),TRIM('Переформатированный ответ'!$C$169:$C$188)),concat(TRIM(C96),TRIM(D96))) &gt; 0,"Есть","Нет")</f>
        <v>#NAME?</v>
      </c>
    </row>
    <row r="97" customFormat="false" ht="15.75" hidden="false" customHeight="false" outlineLevel="0" collapsed="false">
      <c r="A97" s="1" t="s">
        <v>1176</v>
      </c>
      <c r="B97" s="1" t="n">
        <v>5</v>
      </c>
      <c r="C97" s="0" t="str">
        <f aca="false">IFERROR(__xludf.dummyfunction("SPLIT(A97,"" "")"),"Акбергенов")</f>
        <v>Акбергенов</v>
      </c>
      <c r="D97" s="0" t="str">
        <f aca="false">IFERROR(__xludf.dummyfunction("""COMPUTED_VALUE"""),"Адият")</f>
        <v>Адият</v>
      </c>
      <c r="E97" s="0" t="str">
        <f aca="false">IFERROR(__xludf.dummyfunction("""COMPUTED_VALUE"""),"Нурахметович")</f>
        <v>Нурахметович</v>
      </c>
      <c r="F97" s="22" t="e">
        <f aca="false" t="array" ref="F97:F97">IF(COUNTIF(concat(TRIM('Переформатированный ответ'!$B$169:$B$188),TRIM('Переформатированный ответ'!$C$169:$C$188)),concat(TRIM(C97),TRIM(D97))) &gt; 0,"Есть","Нет")</f>
        <v>#NAME?</v>
      </c>
    </row>
    <row r="98" customFormat="false" ht="15.75" hidden="false" customHeight="false" outlineLevel="0" collapsed="false">
      <c r="A98" s="1" t="s">
        <v>1177</v>
      </c>
      <c r="B98" s="1" t="n">
        <v>9</v>
      </c>
      <c r="C98" s="0" t="str">
        <f aca="false">IFERROR(__xludf.dummyfunction("SPLIT(A98,"" "")"),"Мельничук")</f>
        <v>Мельничук</v>
      </c>
      <c r="D98" s="0" t="str">
        <f aca="false">IFERROR(__xludf.dummyfunction("""COMPUTED_VALUE"""),"Александр")</f>
        <v>Александр</v>
      </c>
      <c r="E98" s="0" t="str">
        <f aca="false">IFERROR(__xludf.dummyfunction("""COMPUTED_VALUE"""),"Сергеевич")</f>
        <v>Сергеевич</v>
      </c>
      <c r="F98" s="22" t="e">
        <f aca="false" t="array" ref="F98:F98">IF(COUNTIF(concat(TRIM('Переформатированный ответ'!$B$169:$B$188),TRIM('Переформатированный ответ'!$C$169:$C$188)),concat(TRIM(C98),TRIM(D98))) &gt; 0,"Есть","Нет")</f>
        <v>#NAME?</v>
      </c>
    </row>
    <row r="99" customFormat="false" ht="15.75" hidden="false" customHeight="false" outlineLevel="0" collapsed="false">
      <c r="A99" s="1" t="s">
        <v>1178</v>
      </c>
      <c r="B99" s="1" t="n">
        <v>10</v>
      </c>
      <c r="C99" s="0" t="str">
        <f aca="false">IFERROR(__xludf.dummyfunction("SPLIT(A99,"" "")"),"Белозерова")</f>
        <v>Белозерова</v>
      </c>
      <c r="D99" s="0" t="str">
        <f aca="false">IFERROR(__xludf.dummyfunction("""COMPUTED_VALUE"""),"Ольга")</f>
        <v>Ольга</v>
      </c>
      <c r="E99" s="0" t="str">
        <f aca="false">IFERROR(__xludf.dummyfunction("""COMPUTED_VALUE"""),"Игоревна")</f>
        <v>Игоревна</v>
      </c>
      <c r="F99" s="22" t="e">
        <f aca="false" t="array" ref="F99:F99">IF(COUNTIF(concat(TRIM('Переформатированный ответ'!$B$169:$B$188),TRIM('Переформатированный ответ'!$C$169:$C$188)),concat(TRIM(C99),TRIM(D99))) &gt; 0,"Есть","Нет")</f>
        <v>#NAME?</v>
      </c>
    </row>
    <row r="100" customFormat="false" ht="15.75" hidden="false" customHeight="false" outlineLevel="0" collapsed="false">
      <c r="A100" s="1" t="s">
        <v>1179</v>
      </c>
      <c r="B100" s="1" t="n">
        <v>8</v>
      </c>
      <c r="C100" s="0" t="str">
        <f aca="false">IFERROR(__xludf.dummyfunction("SPLIT(A100,"" "")"),"Мельникова")</f>
        <v>Мельникова</v>
      </c>
      <c r="D100" s="0" t="str">
        <f aca="false">IFERROR(__xludf.dummyfunction("""COMPUTED_VALUE"""),"Анна")</f>
        <v>Анна</v>
      </c>
      <c r="E100" s="0" t="str">
        <f aca="false">IFERROR(__xludf.dummyfunction("""COMPUTED_VALUE"""),"Вячеславовна")</f>
        <v>Вячеславовна</v>
      </c>
      <c r="F100" s="22" t="e">
        <f aca="false" t="array" ref="F100:F100">IF(COUNTIF(concat(TRIM('Переформатированный ответ'!$B$169:$B$188),TRIM('Переформатированный ответ'!$C$169:$C$188)),concat(TRIM(C100),TRIM(D100))) &gt; 0,"Есть","Нет")</f>
        <v>#NAME?</v>
      </c>
    </row>
    <row r="101" customFormat="false" ht="15.75" hidden="false" customHeight="false" outlineLevel="0" collapsed="false">
      <c r="A101" s="1" t="s">
        <v>1180</v>
      </c>
      <c r="B101" s="1" t="n">
        <v>7</v>
      </c>
      <c r="C101" s="0" t="str">
        <f aca="false">IFERROR(__xludf.dummyfunction("SPLIT(A101,"" "")"),"Климова")</f>
        <v>Климова</v>
      </c>
      <c r="D101" s="0" t="str">
        <f aca="false">IFERROR(__xludf.dummyfunction("""COMPUTED_VALUE"""),"Анна")</f>
        <v>Анна</v>
      </c>
      <c r="E101" s="0" t="str">
        <f aca="false">IFERROR(__xludf.dummyfunction("""COMPUTED_VALUE"""),"Станиславовна")</f>
        <v>Станиславовна</v>
      </c>
      <c r="F101" s="22" t="e">
        <f aca="false" t="array" ref="F101:F101">IF(COUNTIF(concat(TRIM('Переформатированный ответ'!$B$169:$B$188),TRIM('Переформатированный ответ'!$C$169:$C$188)),concat(TRIM(C101),TRIM(D101))) &gt; 0,"Есть","Нет")</f>
        <v>#NAME?</v>
      </c>
    </row>
    <row r="102" customFormat="false" ht="15.75" hidden="false" customHeight="false" outlineLevel="0" collapsed="false">
      <c r="A102" s="1" t="s">
        <v>1181</v>
      </c>
      <c r="B102" s="1" t="n">
        <v>5</v>
      </c>
      <c r="C102" s="0" t="str">
        <f aca="false">IFERROR(__xludf.dummyfunction("SPLIT(A102,"" "")"),"Шкабарня")</f>
        <v>Шкабарня</v>
      </c>
      <c r="D102" s="0" t="str">
        <f aca="false">IFERROR(__xludf.dummyfunction("""COMPUTED_VALUE"""),"Алексей")</f>
        <v>Алексей</v>
      </c>
      <c r="E102" s="0" t="str">
        <f aca="false">IFERROR(__xludf.dummyfunction("""COMPUTED_VALUE"""),"Сергеевич")</f>
        <v>Сергеевич</v>
      </c>
      <c r="F102" s="22" t="e">
        <f aca="false" t="array" ref="F102:F102">IF(COUNTIF(concat(TRIM('Переформатированный ответ'!$B$169:$B$188),TRIM('Переформатированный ответ'!$C$169:$C$188)),concat(TRIM(C102),TRIM(D102))) &gt; 0,"Есть","Нет")</f>
        <v>#NAME?</v>
      </c>
    </row>
    <row r="103" customFormat="false" ht="15.75" hidden="false" customHeight="false" outlineLevel="0" collapsed="false">
      <c r="A103" s="1" t="s">
        <v>1182</v>
      </c>
      <c r="B103" s="1" t="n">
        <v>7</v>
      </c>
      <c r="C103" s="0" t="str">
        <f aca="false">IFERROR(__xludf.dummyfunction("SPLIT(A103,"" "")"),"Лим")</f>
        <v>Лим</v>
      </c>
      <c r="D103" s="0" t="str">
        <f aca="false">IFERROR(__xludf.dummyfunction("""COMPUTED_VALUE"""),"Владимир")</f>
        <v>Владимир</v>
      </c>
      <c r="E103" s="0" t="str">
        <f aca="false">IFERROR(__xludf.dummyfunction("""COMPUTED_VALUE"""),"Валерьевич")</f>
        <v>Валерьевич</v>
      </c>
      <c r="F103" s="22" t="e">
        <f aca="false" t="array" ref="F103:F103">IF(COUNTIF(concat(TRIM('Переформатированный ответ'!$B$169:$B$188),TRIM('Переформатированный ответ'!$C$169:$C$188)),concat(TRIM(C103),TRIM(D103))) &gt; 0,"Есть","Нет")</f>
        <v>#NAME?</v>
      </c>
    </row>
    <row r="104" customFormat="false" ht="15.75" hidden="false" customHeight="false" outlineLevel="0" collapsed="false">
      <c r="A104" s="1" t="s">
        <v>1183</v>
      </c>
      <c r="B104" s="1" t="n">
        <v>7</v>
      </c>
      <c r="C104" s="0" t="str">
        <f aca="false">IFERROR(__xludf.dummyfunction("SPLIT(A104,"" "")"),"Корнилов")</f>
        <v>Корнилов</v>
      </c>
      <c r="D104" s="0" t="str">
        <f aca="false">IFERROR(__xludf.dummyfunction("""COMPUTED_VALUE"""),"Никита")</f>
        <v>Никита</v>
      </c>
      <c r="E104" s="0" t="str">
        <f aca="false">IFERROR(__xludf.dummyfunction("""COMPUTED_VALUE"""),"Анатольевич")</f>
        <v>Анатольевич</v>
      </c>
      <c r="F104" s="22" t="e">
        <f aca="false" t="array" ref="F104:F104">IF(COUNTIF(concat(TRIM('Переформатированный ответ'!$B$169:$B$188),TRIM('Переформатированный ответ'!$C$169:$C$188)),concat(TRIM(C104),TRIM(D104))) &gt; 0,"Есть","Нет")</f>
        <v>#NAME?</v>
      </c>
    </row>
    <row r="105" customFormat="false" ht="15.75" hidden="false" customHeight="false" outlineLevel="0" collapsed="false">
      <c r="A105" s="1" t="s">
        <v>1184</v>
      </c>
      <c r="B105" s="1" t="n">
        <v>7</v>
      </c>
      <c r="C105" s="0" t="str">
        <f aca="false">IFERROR(__xludf.dummyfunction("SPLIT(A105,"" "")"),"Клюева")</f>
        <v>Клюева</v>
      </c>
      <c r="D105" s="0" t="str">
        <f aca="false">IFERROR(__xludf.dummyfunction("""COMPUTED_VALUE"""),"Полина")</f>
        <v>Полина</v>
      </c>
      <c r="E105" s="0" t="str">
        <f aca="false">IFERROR(__xludf.dummyfunction("""COMPUTED_VALUE"""),"Игоревна")</f>
        <v>Игоревна</v>
      </c>
      <c r="F105" s="22" t="e">
        <f aca="false" t="array" ref="F105:F105">IF(COUNTIF(concat(TRIM('Переформатированный ответ'!$B$169:$B$188),TRIM('Переформатированный ответ'!$C$169:$C$188)),concat(TRIM(C105),TRIM(D105))) &gt; 0,"Есть","Нет")</f>
        <v>#NAME?</v>
      </c>
    </row>
    <row r="106" customFormat="false" ht="15.75" hidden="false" customHeight="false" outlineLevel="0" collapsed="false">
      <c r="A106" s="1" t="s">
        <v>1185</v>
      </c>
      <c r="B106" s="1" t="n">
        <v>5</v>
      </c>
      <c r="C106" s="0" t="str">
        <f aca="false">IFERROR(__xludf.dummyfunction("SPLIT(A106,"" "")"),"Полецкая")</f>
        <v>Полецкая</v>
      </c>
      <c r="D106" s="0" t="str">
        <f aca="false">IFERROR(__xludf.dummyfunction("""COMPUTED_VALUE"""),"Александра")</f>
        <v>Александра</v>
      </c>
      <c r="E106" s="0" t="str">
        <f aca="false">IFERROR(__xludf.dummyfunction("""COMPUTED_VALUE"""),"Олеговна")</f>
        <v>Олеговна</v>
      </c>
      <c r="F106" s="22" t="e">
        <f aca="false" t="array" ref="F106:F106">IF(COUNTIF(concat(TRIM('Переформатированный ответ'!$B$169:$B$188),TRIM('Переформатированный ответ'!$C$169:$C$188)),concat(TRIM(C106),TRIM(D106))) &gt; 0,"Есть","Нет")</f>
        <v>#NAME?</v>
      </c>
    </row>
    <row r="107" customFormat="false" ht="15.75" hidden="false" customHeight="false" outlineLevel="0" collapsed="false">
      <c r="A107" s="1" t="s">
        <v>1186</v>
      </c>
      <c r="B107" s="1" t="n">
        <v>6</v>
      </c>
      <c r="C107" s="0" t="str">
        <f aca="false">IFERROR(__xludf.dummyfunction("SPLIT(A107,"" "")"),"Абдуллаева")</f>
        <v>Абдуллаева</v>
      </c>
      <c r="D107" s="0" t="str">
        <f aca="false">IFERROR(__xludf.dummyfunction("""COMPUTED_VALUE"""),"Анастасия")</f>
        <v>Анастасия</v>
      </c>
      <c r="E107" s="0" t="str">
        <f aca="false">IFERROR(__xludf.dummyfunction("""COMPUTED_VALUE"""),"Вадимовна")</f>
        <v>Вадимовна</v>
      </c>
      <c r="F107" s="22" t="e">
        <f aca="false" t="array" ref="F107:F107">IF(COUNTIF(concat(TRIM('Переформатированный ответ'!$B$169:$B$188),TRIM('Переформатированный ответ'!$C$169:$C$188)),concat(TRIM(C107),TRIM(D107))) &gt; 0,"Есть","Нет")</f>
        <v>#NAME?</v>
      </c>
    </row>
    <row r="108" customFormat="false" ht="15.75" hidden="false" customHeight="false" outlineLevel="0" collapsed="false">
      <c r="A108" s="1" t="s">
        <v>1187</v>
      </c>
      <c r="B108" s="1" t="n">
        <v>6</v>
      </c>
      <c r="C108" s="0" t="str">
        <f aca="false">IFERROR(__xludf.dummyfunction("SPLIT(A108,"" "")"),"Ковалева")</f>
        <v>Ковалева</v>
      </c>
      <c r="D108" s="0" t="str">
        <f aca="false">IFERROR(__xludf.dummyfunction("""COMPUTED_VALUE"""),"Елена")</f>
        <v>Елена</v>
      </c>
      <c r="E108" s="0" t="str">
        <f aca="false">IFERROR(__xludf.dummyfunction("""COMPUTED_VALUE"""),"Васильевна")</f>
        <v>Васильевна</v>
      </c>
      <c r="F108" s="22" t="e">
        <f aca="false" t="array" ref="F108:F108">IF(COUNTIF(concat(TRIM('Переформатированный ответ'!$B$169:$B$188),TRIM('Переформатированный ответ'!$C$169:$C$188)),concat(TRIM(C108),TRIM(D108))) &gt; 0,"Есть","Нет")</f>
        <v>#NAME?</v>
      </c>
    </row>
    <row r="109" customFormat="false" ht="15.75" hidden="false" customHeight="false" outlineLevel="0" collapsed="false">
      <c r="A109" s="1" t="s">
        <v>1188</v>
      </c>
      <c r="B109" s="1" t="n">
        <v>6</v>
      </c>
      <c r="C109" s="0" t="str">
        <f aca="false">IFERROR(__xludf.dummyfunction("SPLIT(A109,"" "")"),"Богданов")</f>
        <v>Богданов</v>
      </c>
      <c r="D109" s="0" t="str">
        <f aca="false">IFERROR(__xludf.dummyfunction("""COMPUTED_VALUE"""),"Михаил")</f>
        <v>Михаил</v>
      </c>
      <c r="F109" s="22" t="e">
        <f aca="false" t="array" ref="F109:F109">IF(COUNTIF(concat(TRIM('Переформатированный ответ'!$B$169:$B$188),TRIM('Переформатированный ответ'!$C$169:$C$188)),concat(TRIM(C109),TRIM(D109))) &gt; 0,"Есть","Нет")</f>
        <v>#NAME?</v>
      </c>
    </row>
    <row r="110" customFormat="false" ht="15.75" hidden="false" customHeight="false" outlineLevel="0" collapsed="false">
      <c r="A110" s="1" t="s">
        <v>1189</v>
      </c>
      <c r="B110" s="1" t="n">
        <v>6</v>
      </c>
      <c r="C110" s="0" t="str">
        <f aca="false">IFERROR(__xludf.dummyfunction("SPLIT(A110,"" "")"),"Егорченков")</f>
        <v>Егорченков</v>
      </c>
      <c r="D110" s="0" t="str">
        <f aca="false">IFERROR(__xludf.dummyfunction("""COMPUTED_VALUE"""),"Платон")</f>
        <v>Платон</v>
      </c>
      <c r="F110" s="22" t="e">
        <f aca="false" t="array" ref="F110:F110">IF(COUNTIF(concat(TRIM('Переформатированный ответ'!$B$169:$B$188),TRIM('Переформатированный ответ'!$C$169:$C$188)),concat(TRIM(C110),TRIM(D110))) &gt; 0,"Есть","Нет")</f>
        <v>#NAME?</v>
      </c>
    </row>
    <row r="111" customFormat="false" ht="15.75" hidden="false" customHeight="false" outlineLevel="0" collapsed="false">
      <c r="A111" s="1" t="s">
        <v>1190</v>
      </c>
      <c r="B111" s="1" t="n">
        <v>5</v>
      </c>
      <c r="C111" s="0" t="str">
        <f aca="false">IFERROR(__xludf.dummyfunction("SPLIT(A111,"" "")"),"Егорченкова")</f>
        <v>Егорченкова</v>
      </c>
      <c r="D111" s="0" t="str">
        <f aca="false">IFERROR(__xludf.dummyfunction("""COMPUTED_VALUE"""),"София")</f>
        <v>София</v>
      </c>
      <c r="E111" s="0" t="str">
        <f aca="false">IFERROR(__xludf.dummyfunction("""COMPUTED_VALUE"""),"Олеговна")</f>
        <v>Олеговна</v>
      </c>
      <c r="F111" s="22" t="e">
        <f aca="false" t="array" ref="F111:F111">IF(COUNTIF(concat(TRIM('Переформатированный ответ'!$B$169:$B$188),TRIM('Переформатированный ответ'!$C$169:$C$188)),concat(TRIM(C111),TRIM(D111))) &gt; 0,"Есть","Нет")</f>
        <v>#NAME?</v>
      </c>
    </row>
    <row r="112" customFormat="false" ht="15.75" hidden="false" customHeight="false" outlineLevel="0" collapsed="false">
      <c r="A112" s="1" t="s">
        <v>1191</v>
      </c>
      <c r="B112" s="1" t="n">
        <v>5</v>
      </c>
      <c r="C112" s="0" t="str">
        <f aca="false">IFERROR(__xludf.dummyfunction("SPLIT(A112,"" "")"),"Маслов")</f>
        <v>Маслов</v>
      </c>
      <c r="D112" s="0" t="str">
        <f aca="false">IFERROR(__xludf.dummyfunction("""COMPUTED_VALUE"""),"Богдан")</f>
        <v>Богдан</v>
      </c>
      <c r="F112" s="22" t="e">
        <f aca="false" t="array" ref="F112:F112">IF(COUNTIF(concat(TRIM('Переформатированный ответ'!$B$169:$B$188),TRIM('Переформатированный ответ'!$C$169:$C$188)),concat(TRIM(C112),TRIM(D112))) &gt; 0,"Есть","Нет")</f>
        <v>#NAME?</v>
      </c>
    </row>
    <row r="113" customFormat="false" ht="15.75" hidden="false" customHeight="false" outlineLevel="0" collapsed="false">
      <c r="A113" s="1" t="s">
        <v>1192</v>
      </c>
      <c r="B113" s="1" t="n">
        <v>8</v>
      </c>
      <c r="C113" s="0" t="str">
        <f aca="false">IFERROR(__xludf.dummyfunction("SPLIT(A113,"" "")"),"Крайкина")</f>
        <v>Крайкина</v>
      </c>
      <c r="D113" s="0" t="str">
        <f aca="false">IFERROR(__xludf.dummyfunction("""COMPUTED_VALUE"""),"Анастасия")</f>
        <v>Анастасия</v>
      </c>
      <c r="E113" s="0" t="str">
        <f aca="false">IFERROR(__xludf.dummyfunction("""COMPUTED_VALUE"""),"Сергеевна")</f>
        <v>Сергеевна</v>
      </c>
      <c r="F113" s="22" t="e">
        <f aca="false" t="array" ref="F113:F113">IF(COUNTIF(concat(TRIM('Переформатированный ответ'!$B$169:$B$188),TRIM('Переформатированный ответ'!$C$169:$C$188)),concat(TRIM(C113),TRIM(D113))) &gt; 0,"Есть","Нет")</f>
        <v>#NAME?</v>
      </c>
    </row>
    <row r="114" customFormat="false" ht="15.75" hidden="false" customHeight="false" outlineLevel="0" collapsed="false">
      <c r="A114" s="1" t="s">
        <v>1193</v>
      </c>
      <c r="B114" s="1" t="n">
        <v>5</v>
      </c>
      <c r="C114" s="0" t="str">
        <f aca="false">IFERROR(__xludf.dummyfunction("SPLIT(A114,"" "")"),"Спичка")</f>
        <v>Спичка</v>
      </c>
      <c r="D114" s="0" t="str">
        <f aca="false">IFERROR(__xludf.dummyfunction("""COMPUTED_VALUE"""),"Александр")</f>
        <v>Александр</v>
      </c>
      <c r="E114" s="0" t="str">
        <f aca="false">IFERROR(__xludf.dummyfunction("""COMPUTED_VALUE"""),"Сергеевич")</f>
        <v>Сергеевич</v>
      </c>
      <c r="F114" s="22" t="e">
        <f aca="false" t="array" ref="F114:F114">IF(COUNTIF(concat(TRIM('Переформатированный ответ'!$B$169:$B$188),TRIM('Переформатированный ответ'!$C$169:$C$188)),concat(TRIM(C114),TRIM(D114))) &gt; 0,"Есть","Нет")</f>
        <v>#NAME?</v>
      </c>
    </row>
    <row r="115" customFormat="false" ht="15.75" hidden="false" customHeight="false" outlineLevel="0" collapsed="false">
      <c r="A115" s="1" t="s">
        <v>1194</v>
      </c>
      <c r="B115" s="1" t="n">
        <v>6</v>
      </c>
      <c r="C115" s="0" t="str">
        <f aca="false">IFERROR(__xludf.dummyfunction("SPLIT(A115,"" "")"),"Лапшаков")</f>
        <v>Лапшаков</v>
      </c>
      <c r="D115" s="0" t="str">
        <f aca="false">IFERROR(__xludf.dummyfunction("""COMPUTED_VALUE"""),"Денис")</f>
        <v>Денис</v>
      </c>
      <c r="E115" s="0" t="str">
        <f aca="false">IFERROR(__xludf.dummyfunction("""COMPUTED_VALUE"""),"Даниилович")</f>
        <v>Даниилович</v>
      </c>
      <c r="F115" s="22" t="e">
        <f aca="false" t="array" ref="F115:F115">IF(COUNTIF(concat(TRIM('Переформатированный ответ'!$B$169:$B$188),TRIM('Переформатированный ответ'!$C$169:$C$188)),concat(TRIM(C115),TRIM(D115))) &gt; 0,"Есть","Нет")</f>
        <v>#NAME?</v>
      </c>
    </row>
    <row r="116" customFormat="false" ht="15.75" hidden="false" customHeight="false" outlineLevel="0" collapsed="false">
      <c r="A116" s="1" t="s">
        <v>1195</v>
      </c>
      <c r="B116" s="1" t="n">
        <v>7</v>
      </c>
      <c r="C116" s="0" t="str">
        <f aca="false">IFERROR(__xludf.dummyfunction("SPLIT(A116,"" "")"),"Конохов")</f>
        <v>Конохов</v>
      </c>
      <c r="D116" s="0" t="str">
        <f aca="false">IFERROR(__xludf.dummyfunction("""COMPUTED_VALUE"""),"Андрей")</f>
        <v>Андрей</v>
      </c>
      <c r="E116" s="0" t="str">
        <f aca="false">IFERROR(__xludf.dummyfunction("""COMPUTED_VALUE"""),"Валерьевич")</f>
        <v>Валерьевич</v>
      </c>
      <c r="F116" s="22" t="e">
        <f aca="false" t="array" ref="F116:F116">IF(COUNTIF(concat(TRIM('Переформатированный ответ'!$B$169:$B$188),TRIM('Переформатированный ответ'!$C$169:$C$188)),concat(TRIM(C116),TRIM(D116))) &gt; 0,"Есть","Нет")</f>
        <v>#NAME?</v>
      </c>
    </row>
    <row r="117" customFormat="false" ht="15.75" hidden="false" customHeight="false" outlineLevel="0" collapsed="false">
      <c r="A117" s="1" t="s">
        <v>1196</v>
      </c>
      <c r="B117" s="1" t="n">
        <v>7</v>
      </c>
      <c r="C117" s="0" t="str">
        <f aca="false">IFERROR(__xludf.dummyfunction("SPLIT(A117,"" "")"),"Фоменко")</f>
        <v>Фоменко</v>
      </c>
      <c r="D117" s="0" t="str">
        <f aca="false">IFERROR(__xludf.dummyfunction("""COMPUTED_VALUE"""),"Елизавета")</f>
        <v>Елизавета</v>
      </c>
      <c r="E117" s="0" t="str">
        <f aca="false">IFERROR(__xludf.dummyfunction("""COMPUTED_VALUE"""),"Антоновна")</f>
        <v>Антоновна</v>
      </c>
      <c r="F117" s="22" t="e">
        <f aca="false" t="array" ref="F117:F117">IF(COUNTIF(concat(TRIM('Переформатированный ответ'!$B$169:$B$188),TRIM('Переформатированный ответ'!$C$169:$C$188)),concat(TRIM(C117),TRIM(D117))) &gt; 0,"Есть","Нет")</f>
        <v>#NAME?</v>
      </c>
    </row>
    <row r="118" customFormat="false" ht="15.75" hidden="false" customHeight="false" outlineLevel="0" collapsed="false">
      <c r="A118" s="1" t="s">
        <v>1197</v>
      </c>
      <c r="B118" s="1" t="n">
        <v>6</v>
      </c>
      <c r="C118" s="0" t="str">
        <f aca="false">IFERROR(__xludf.dummyfunction("SPLIT(A118,"" "")"),"Фоменко")</f>
        <v>Фоменко</v>
      </c>
      <c r="D118" s="0" t="str">
        <f aca="false">IFERROR(__xludf.dummyfunction("""COMPUTED_VALUE"""),"Мария")</f>
        <v>Мария</v>
      </c>
      <c r="F118" s="22" t="e">
        <f aca="false" t="array" ref="F118:F118">IF(COUNTIF(concat(TRIM('Переформатированный ответ'!$B$169:$B$188),TRIM('Переформатированный ответ'!$C$169:$C$188)),concat(TRIM(C118),TRIM(D118))) &gt; 0,"Есть","Нет")</f>
        <v>#NAME?</v>
      </c>
    </row>
  </sheetData>
  <conditionalFormatting sqref="F2:F118">
    <cfRule type="cellIs" priority="2" operator="equal" aboveAverage="0" equalAverage="0" bottom="0" percent="0" rank="0" text="" dxfId="0">
      <formula>"Есть"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34.13"/>
  </cols>
  <sheetData>
    <row r="1" customFormat="false" ht="15.75" hidden="false" customHeight="false" outlineLevel="0" collapsed="false">
      <c r="A1" s="32" t="n">
        <v>43291.9355054977</v>
      </c>
      <c r="B1" s="34" t="s">
        <v>1198</v>
      </c>
      <c r="C1" s="43" t="s">
        <v>1199</v>
      </c>
      <c r="D1" s="0" t="str">
        <f aca="false">IFERROR(__xludf.dummyfunction("SPLIT(B1,"" "")"),"Нестеров")</f>
        <v>Нестеров</v>
      </c>
      <c r="E1" s="0" t="str">
        <f aca="false">IFERROR(__xludf.dummyfunction("""COMPUTED_VALUE"""),"Денис")</f>
        <v>Денис</v>
      </c>
    </row>
    <row r="2" customFormat="false" ht="15.75" hidden="false" customHeight="false" outlineLevel="0" collapsed="false">
      <c r="A2" s="32" t="n">
        <v>43291.9395279051</v>
      </c>
      <c r="B2" s="34" t="s">
        <v>1200</v>
      </c>
      <c r="C2" s="43" t="s">
        <v>1201</v>
      </c>
      <c r="D2" s="0" t="str">
        <f aca="false">IFERROR(__xludf.dummyfunction("SPLIT(B2,"" "")"),"Ложников")</f>
        <v>Ложников</v>
      </c>
      <c r="E2" s="0" t="str">
        <f aca="false">IFERROR(__xludf.dummyfunction("""COMPUTED_VALUE"""),"Виктор")</f>
        <v>Виктор</v>
      </c>
    </row>
    <row r="3" customFormat="false" ht="15.75" hidden="false" customHeight="false" outlineLevel="0" collapsed="false">
      <c r="A3" s="32" t="n">
        <v>43291.9399836458</v>
      </c>
      <c r="B3" s="34" t="s">
        <v>1202</v>
      </c>
      <c r="C3" s="43" t="s">
        <v>1203</v>
      </c>
      <c r="D3" s="0" t="str">
        <f aca="false">IFERROR(__xludf.dummyfunction("SPLIT(B3,"" "")"),"валдис")</f>
        <v>валдис</v>
      </c>
      <c r="E3" s="0" t="str">
        <f aca="false">IFERROR(__xludf.dummyfunction("""COMPUTED_VALUE"""),"валдис")</f>
        <v>валдис</v>
      </c>
    </row>
    <row r="4" customFormat="false" ht="15.75" hidden="false" customHeight="false" outlineLevel="0" collapsed="false">
      <c r="A4" s="32" t="n">
        <v>43291.9414600231</v>
      </c>
      <c r="B4" s="34" t="s">
        <v>1204</v>
      </c>
      <c r="C4" s="43" t="s">
        <v>1205</v>
      </c>
      <c r="D4" s="0" t="str">
        <f aca="false">IFERROR(__xludf.dummyfunction("SPLIT(B4,"" "")"),"Тищенко")</f>
        <v>Тищенко</v>
      </c>
      <c r="E4" s="0" t="str">
        <f aca="false">IFERROR(__xludf.dummyfunction("""COMPUTED_VALUE"""),"Дарья")</f>
        <v>Дарья</v>
      </c>
    </row>
    <row r="5" customFormat="false" ht="15.75" hidden="false" customHeight="false" outlineLevel="0" collapsed="false">
      <c r="A5" s="32" t="n">
        <v>43291.9414649074</v>
      </c>
      <c r="B5" s="34" t="s">
        <v>1206</v>
      </c>
      <c r="C5" s="43" t="s">
        <v>1207</v>
      </c>
      <c r="D5" s="0" t="str">
        <f aca="false">IFERROR(__xludf.dummyfunction("SPLIT(B5,"" "")"),"Киямова")</f>
        <v>Киямова</v>
      </c>
      <c r="E5" s="0" t="str">
        <f aca="false">IFERROR(__xludf.dummyfunction("""COMPUTED_VALUE"""),"Наиля")</f>
        <v>Наиля</v>
      </c>
    </row>
    <row r="6" customFormat="false" ht="15.75" hidden="false" customHeight="false" outlineLevel="0" collapsed="false">
      <c r="A6" s="32" t="n">
        <v>43291.9415634375</v>
      </c>
      <c r="B6" s="34" t="s">
        <v>1208</v>
      </c>
      <c r="C6" s="43" t="s">
        <v>1209</v>
      </c>
      <c r="D6" s="0" t="str">
        <f aca="false">IFERROR(__xludf.dummyfunction("SPLIT(B6,"" "")"),"Мария")</f>
        <v>Мария</v>
      </c>
      <c r="E6" s="0" t="str">
        <f aca="false">IFERROR(__xludf.dummyfunction("""COMPUTED_VALUE"""),"Рождественская")</f>
        <v>Рождественская</v>
      </c>
    </row>
    <row r="7" customFormat="false" ht="15.75" hidden="false" customHeight="false" outlineLevel="0" collapsed="false">
      <c r="A7" s="32" t="n">
        <v>43291.9416968056</v>
      </c>
      <c r="B7" s="34" t="s">
        <v>1210</v>
      </c>
      <c r="C7" s="43" t="s">
        <v>1211</v>
      </c>
      <c r="D7" s="0" t="str">
        <f aca="false">IFERROR(__xludf.dummyfunction("SPLIT(B7,"" "")"),"Алиса")</f>
        <v>Алиса</v>
      </c>
      <c r="E7" s="0" t="str">
        <f aca="false">IFERROR(__xludf.dummyfunction("""COMPUTED_VALUE"""),"Темерева")</f>
        <v>Темерева</v>
      </c>
    </row>
    <row r="8" customFormat="false" ht="15.75" hidden="false" customHeight="false" outlineLevel="0" collapsed="false">
      <c r="A8" s="32"/>
      <c r="B8" s="34"/>
      <c r="C8" s="43"/>
    </row>
    <row r="9" customFormat="false" ht="15.75" hidden="false" customHeight="false" outlineLevel="0" collapsed="false">
      <c r="A9" s="32" t="n">
        <v>43291.9418158681</v>
      </c>
      <c r="B9" s="34" t="s">
        <v>1212</v>
      </c>
      <c r="C9" s="43" t="s">
        <v>1213</v>
      </c>
      <c r="D9" s="0" t="str">
        <f aca="false">IFERROR(__xludf.dummyfunction("SPLIT(B9,"" "")"),"Шестаков")</f>
        <v>Шестаков</v>
      </c>
      <c r="E9" s="0" t="str">
        <f aca="false">IFERROR(__xludf.dummyfunction("""COMPUTED_VALUE"""),"Михаил")</f>
        <v>Михаил</v>
      </c>
    </row>
    <row r="10" customFormat="false" ht="15.75" hidden="false" customHeight="false" outlineLevel="0" collapsed="false">
      <c r="A10" s="32" t="n">
        <v>43291.9418583449</v>
      </c>
      <c r="B10" s="34" t="s">
        <v>1214</v>
      </c>
      <c r="C10" s="43" t="s">
        <v>1215</v>
      </c>
      <c r="D10" s="0" t="str">
        <f aca="false">IFERROR(__xludf.dummyfunction("SPLIT(B10,"" "")"),"Ходарина")</f>
        <v>Ходарина</v>
      </c>
      <c r="E10" s="0" t="str">
        <f aca="false">IFERROR(__xludf.dummyfunction("""COMPUTED_VALUE"""),"Алина")</f>
        <v>Алина</v>
      </c>
    </row>
    <row r="11" customFormat="false" ht="15.75" hidden="false" customHeight="false" outlineLevel="0" collapsed="false">
      <c r="A11" s="32" t="n">
        <v>43291.9427872685</v>
      </c>
      <c r="B11" s="34" t="s">
        <v>1216</v>
      </c>
      <c r="C11" s="43" t="s">
        <v>1217</v>
      </c>
      <c r="D11" s="0" t="str">
        <f aca="false">IFERROR(__xludf.dummyfunction("SPLIT(B11,"" "")"),"Мельник")</f>
        <v>Мельник</v>
      </c>
      <c r="E11" s="0" t="str">
        <f aca="false">IFERROR(__xludf.dummyfunction("""COMPUTED_VALUE"""),"Диана")</f>
        <v>Диана</v>
      </c>
    </row>
    <row r="12" customFormat="false" ht="15.75" hidden="false" customHeight="false" outlineLevel="0" collapsed="false">
      <c r="A12" s="32" t="n">
        <v>43291.9429144097</v>
      </c>
      <c r="B12" s="34" t="s">
        <v>1218</v>
      </c>
      <c r="C12" s="43" t="s">
        <v>1219</v>
      </c>
      <c r="D12" s="0" t="str">
        <f aca="false">IFERROR(__xludf.dummyfunction("SPLIT(B12,"" "")"),"Вирт")</f>
        <v>Вирт</v>
      </c>
      <c r="E12" s="0" t="str">
        <f aca="false">IFERROR(__xludf.dummyfunction("""COMPUTED_VALUE"""),"Кирилл")</f>
        <v>Кирилл</v>
      </c>
    </row>
    <row r="13" customFormat="false" ht="15.75" hidden="false" customHeight="false" outlineLevel="0" collapsed="false">
      <c r="A13" s="32" t="n">
        <v>43291.9430504977</v>
      </c>
      <c r="B13" s="34" t="s">
        <v>1220</v>
      </c>
      <c r="C13" s="43" t="s">
        <v>1221</v>
      </c>
      <c r="D13" s="0" t="str">
        <f aca="false">IFERROR(__xludf.dummyfunction("SPLIT(B13,"" "")"),"Зайцева")</f>
        <v>Зайцева</v>
      </c>
      <c r="E13" s="0" t="str">
        <f aca="false">IFERROR(__xludf.dummyfunction("""COMPUTED_VALUE"""),"Вика")</f>
        <v>Вика</v>
      </c>
    </row>
    <row r="14" customFormat="false" ht="15.75" hidden="false" customHeight="false" outlineLevel="0" collapsed="false">
      <c r="A14" s="32" t="n">
        <v>43291.9431478009</v>
      </c>
      <c r="B14" s="34" t="s">
        <v>1222</v>
      </c>
      <c r="C14" s="43" t="s">
        <v>1223</v>
      </c>
      <c r="D14" s="0" t="str">
        <f aca="false">IFERROR(__xludf.dummyfunction("SPLIT(B14,"" "")"),"Локтионова")</f>
        <v>Локтионова</v>
      </c>
      <c r="E14" s="0" t="str">
        <f aca="false">IFERROR(__xludf.dummyfunction("""COMPUTED_VALUE"""),"Даниэла")</f>
        <v>Даниэла</v>
      </c>
    </row>
    <row r="15" customFormat="false" ht="15.75" hidden="false" customHeight="false" outlineLevel="0" collapsed="false">
      <c r="A15" s="32" t="n">
        <v>43291.9431639931</v>
      </c>
      <c r="B15" s="34" t="s">
        <v>1224</v>
      </c>
      <c r="C15" s="43" t="s">
        <v>1225</v>
      </c>
      <c r="D15" s="0" t="str">
        <f aca="false">IFERROR(__xludf.dummyfunction("SPLIT(B15,"" "")"),"Мар")</f>
        <v>Мар</v>
      </c>
      <c r="E15" s="0" t="str">
        <f aca="false">IFERROR(__xludf.dummyfunction("""COMPUTED_VALUE"""),"Вазовский")</f>
        <v>Вазовский</v>
      </c>
    </row>
    <row r="16" customFormat="false" ht="15.75" hidden="false" customHeight="false" outlineLevel="0" collapsed="false">
      <c r="A16" s="32" t="n">
        <v>43291.9432812384</v>
      </c>
      <c r="B16" s="34" t="s">
        <v>1226</v>
      </c>
      <c r="C16" s="43" t="s">
        <v>1227</v>
      </c>
      <c r="D16" s="0" t="str">
        <f aca="false">IFERROR(__xludf.dummyfunction("SPLIT(B16,"" "")"),"Мальцев")</f>
        <v>Мальцев</v>
      </c>
      <c r="E16" s="0" t="str">
        <f aca="false">IFERROR(__xludf.dummyfunction("""COMPUTED_VALUE"""),"Владимир")</f>
        <v>Владимир</v>
      </c>
    </row>
    <row r="17" customFormat="false" ht="15.75" hidden="false" customHeight="false" outlineLevel="0" collapsed="false">
      <c r="A17" s="32" t="n">
        <v>43291.9433543981</v>
      </c>
      <c r="B17" s="34" t="s">
        <v>1228</v>
      </c>
      <c r="C17" s="43" t="s">
        <v>1229</v>
      </c>
      <c r="D17" s="0" t="str">
        <f aca="false">IFERROR(__xludf.dummyfunction("SPLIT(B17,"" "")"),"Сидоров")</f>
        <v>Сидоров</v>
      </c>
      <c r="E17" s="0" t="str">
        <f aca="false">IFERROR(__xludf.dummyfunction("""COMPUTED_VALUE"""),"Никита")</f>
        <v>Никита</v>
      </c>
    </row>
    <row r="18" customFormat="false" ht="15.75" hidden="false" customHeight="false" outlineLevel="0" collapsed="false">
      <c r="A18" s="32" t="n">
        <v>43291.9434275</v>
      </c>
      <c r="B18" s="34" t="s">
        <v>1230</v>
      </c>
      <c r="C18" s="43" t="s">
        <v>1231</v>
      </c>
      <c r="D18" s="0" t="str">
        <f aca="false">IFERROR(__xludf.dummyfunction("SPLIT(B18,"" "")"),"Таушкина")</f>
        <v>Таушкина</v>
      </c>
      <c r="E18" s="0" t="str">
        <f aca="false">IFERROR(__xludf.dummyfunction("""COMPUTED_VALUE"""),"Люба")</f>
        <v>Люба</v>
      </c>
    </row>
    <row r="19" customFormat="false" ht="15.75" hidden="false" customHeight="false" outlineLevel="0" collapsed="false">
      <c r="A19" s="32" t="n">
        <v>43291.9434874884</v>
      </c>
      <c r="B19" s="34" t="s">
        <v>1232</v>
      </c>
      <c r="C19" s="43" t="s">
        <v>1233</v>
      </c>
      <c r="D19" s="0" t="str">
        <f aca="false">IFERROR(__xludf.dummyfunction("SPLIT(B19,"" "")"),"Бахмутский")</f>
        <v>Бахмутский</v>
      </c>
      <c r="E19" s="0" t="str">
        <f aca="false">IFERROR(__xludf.dummyfunction("""COMPUTED_VALUE"""),"Андрей")</f>
        <v>Андрей</v>
      </c>
    </row>
    <row r="20" customFormat="false" ht="15.75" hidden="false" customHeight="false" outlineLevel="0" collapsed="false">
      <c r="A20" s="32" t="n">
        <v>43291.9438409954</v>
      </c>
      <c r="B20" s="34" t="s">
        <v>1234</v>
      </c>
      <c r="C20" s="34" t="s">
        <v>1235</v>
      </c>
      <c r="D20" s="0" t="str">
        <f aca="false">IFERROR(__xludf.dummyfunction("SPLIT(B20,"" "")"),"Левченко")</f>
        <v>Левченко</v>
      </c>
      <c r="E20" s="0" t="str">
        <f aca="false">IFERROR(__xludf.dummyfunction("""COMPUTED_VALUE"""),"Владислав")</f>
        <v>Владислав</v>
      </c>
    </row>
    <row r="21" customFormat="false" ht="15.75" hidden="false" customHeight="false" outlineLevel="0" collapsed="false">
      <c r="A21" s="32" t="n">
        <v>43291.9441963889</v>
      </c>
      <c r="B21" s="34" t="s">
        <v>1236</v>
      </c>
      <c r="C21" s="43" t="s">
        <v>1237</v>
      </c>
      <c r="D21" s="0" t="str">
        <f aca="false">IFERROR(__xludf.dummyfunction("SPLIT(B21,"" "")"),"Сушкова")</f>
        <v>Сушкова</v>
      </c>
      <c r="E21" s="0" t="str">
        <f aca="false">IFERROR(__xludf.dummyfunction("""COMPUTED_VALUE"""),"Ирина")</f>
        <v>Ирина</v>
      </c>
    </row>
    <row r="22" customFormat="false" ht="15.75" hidden="false" customHeight="false" outlineLevel="0" collapsed="false">
      <c r="A22" s="32" t="n">
        <v>43291.9443495023</v>
      </c>
      <c r="B22" s="34" t="s">
        <v>1238</v>
      </c>
      <c r="C22" s="43" t="s">
        <v>1239</v>
      </c>
      <c r="D22" s="0" t="str">
        <f aca="false">IFERROR(__xludf.dummyfunction("SPLIT(B22,"" "")"),"Ушаков")</f>
        <v>Ушаков</v>
      </c>
      <c r="E22" s="0" t="str">
        <f aca="false">IFERROR(__xludf.dummyfunction("""COMPUTED_VALUE"""),"Константин")</f>
        <v>Константин</v>
      </c>
    </row>
    <row r="23" customFormat="false" ht="15.75" hidden="false" customHeight="false" outlineLevel="0" collapsed="false">
      <c r="A23" s="32" t="n">
        <v>43291.9443779514</v>
      </c>
      <c r="B23" s="34" t="s">
        <v>1240</v>
      </c>
      <c r="C23" s="43" t="s">
        <v>1241</v>
      </c>
      <c r="D23" s="0" t="str">
        <f aca="false">IFERROR(__xludf.dummyfunction("SPLIT(B23,"" "")"),"Яковлева")</f>
        <v>Яковлева</v>
      </c>
      <c r="E23" s="0" t="str">
        <f aca="false">IFERROR(__xludf.dummyfunction("""COMPUTED_VALUE"""),"Евгения")</f>
        <v>Евгения</v>
      </c>
    </row>
    <row r="24" customFormat="false" ht="15.75" hidden="false" customHeight="false" outlineLevel="0" collapsed="false">
      <c r="A24" s="32" t="n">
        <v>43291.9444755093</v>
      </c>
      <c r="B24" s="34" t="s">
        <v>1242</v>
      </c>
      <c r="C24" s="43" t="s">
        <v>1243</v>
      </c>
      <c r="D24" s="0" t="str">
        <f aca="false">IFERROR(__xludf.dummyfunction("SPLIT(B24,"" "")"),"Шпакова")</f>
        <v>Шпакова</v>
      </c>
      <c r="E24" s="0" t="str">
        <f aca="false">IFERROR(__xludf.dummyfunction("""COMPUTED_VALUE"""),"Евгения")</f>
        <v>Евгения</v>
      </c>
    </row>
    <row r="25" customFormat="false" ht="15.75" hidden="false" customHeight="false" outlineLevel="0" collapsed="false">
      <c r="A25" s="32" t="n">
        <v>43291.9445646412</v>
      </c>
      <c r="B25" s="34" t="s">
        <v>1244</v>
      </c>
      <c r="C25" s="43" t="s">
        <v>1245</v>
      </c>
      <c r="D25" s="0" t="str">
        <f aca="false">IFERROR(__xludf.dummyfunction("SPLIT(B25,"" "")"),"Задорожная")</f>
        <v>Задорожная</v>
      </c>
      <c r="E25" s="0" t="str">
        <f aca="false">IFERROR(__xludf.dummyfunction("""COMPUTED_VALUE"""),"Виолетта")</f>
        <v>Виолетта</v>
      </c>
    </row>
    <row r="26" customFormat="false" ht="15.75" hidden="false" customHeight="false" outlineLevel="0" collapsed="false">
      <c r="A26" s="32" t="n">
        <v>43291.9447053935</v>
      </c>
      <c r="B26" s="34" t="s">
        <v>1246</v>
      </c>
      <c r="C26" s="43" t="s">
        <v>1247</v>
      </c>
      <c r="D26" s="0" t="str">
        <f aca="false">IFERROR(__xludf.dummyfunction("SPLIT(B26,"" "")"),"Мозылева")</f>
        <v>Мозылева</v>
      </c>
      <c r="E26" s="0" t="str">
        <f aca="false">IFERROR(__xludf.dummyfunction("""COMPUTED_VALUE"""),"Мария")</f>
        <v>Мария</v>
      </c>
    </row>
    <row r="27" customFormat="false" ht="15.75" hidden="false" customHeight="false" outlineLevel="0" collapsed="false">
      <c r="A27" s="32" t="n">
        <v>43291.9447101389</v>
      </c>
      <c r="B27" s="34" t="s">
        <v>1248</v>
      </c>
      <c r="C27" s="43" t="s">
        <v>1249</v>
      </c>
      <c r="D27" s="0" t="str">
        <f aca="false">IFERROR(__xludf.dummyfunction("SPLIT(B27,"" "")"),"Женя")</f>
        <v>Женя</v>
      </c>
      <c r="E27" s="0" t="str">
        <f aca="false">IFERROR(__xludf.dummyfunction("""COMPUTED_VALUE"""),"Ткачёва")</f>
        <v>Ткачёва</v>
      </c>
      <c r="F27" s="0" t="str">
        <f aca="false">IFERROR(__xludf.dummyfunction("""COMPUTED_VALUE"""),":)")</f>
        <v>:)</v>
      </c>
    </row>
    <row r="28" customFormat="false" ht="15.75" hidden="false" customHeight="false" outlineLevel="0" collapsed="false">
      <c r="A28" s="32" t="n">
        <v>43291.9449402662</v>
      </c>
      <c r="B28" s="34" t="s">
        <v>1250</v>
      </c>
      <c r="C28" s="43" t="s">
        <v>1251</v>
      </c>
      <c r="D28" s="0" t="str">
        <f aca="false">IFERROR(__xludf.dummyfunction("SPLIT(B28,"" "")"),"Корнев")</f>
        <v>Корнев</v>
      </c>
      <c r="E28" s="0" t="str">
        <f aca="false">IFERROR(__xludf.dummyfunction("""COMPUTED_VALUE"""),"Егор")</f>
        <v>Егор</v>
      </c>
    </row>
    <row r="29" customFormat="false" ht="15.75" hidden="false" customHeight="false" outlineLevel="0" collapsed="false">
      <c r="A29" s="32" t="n">
        <v>43291.9450635532</v>
      </c>
      <c r="B29" s="34" t="s">
        <v>1252</v>
      </c>
      <c r="C29" s="43" t="s">
        <v>1253</v>
      </c>
      <c r="D29" s="0" t="str">
        <f aca="false">IFERROR(__xludf.dummyfunction("SPLIT(B29,"" "")"),"Богданова")</f>
        <v>Богданова</v>
      </c>
      <c r="E29" s="0" t="str">
        <f aca="false">IFERROR(__xludf.dummyfunction("""COMPUTED_VALUE"""),"Анастасия")</f>
        <v>Анастасия</v>
      </c>
    </row>
    <row r="30" customFormat="false" ht="15.75" hidden="false" customHeight="false" outlineLevel="0" collapsed="false">
      <c r="A30" s="32" t="n">
        <v>43291.9450913426</v>
      </c>
      <c r="B30" s="34" t="s">
        <v>1254</v>
      </c>
      <c r="C30" s="43" t="s">
        <v>1205</v>
      </c>
      <c r="D30" s="0" t="str">
        <f aca="false">IFERROR(__xludf.dummyfunction("SPLIT(B30,"" "")"),"Саша")</f>
        <v>Саша</v>
      </c>
      <c r="E30" s="0" t="str">
        <f aca="false">IFERROR(__xludf.dummyfunction("""COMPUTED_VALUE"""),"хохлов))0)")</f>
        <v>хохлов))0)</v>
      </c>
    </row>
    <row r="31" customFormat="false" ht="15.75" hidden="false" customHeight="false" outlineLevel="0" collapsed="false">
      <c r="A31" s="32" t="n">
        <v>43291.945180787</v>
      </c>
      <c r="B31" s="34" t="s">
        <v>1255</v>
      </c>
      <c r="C31" s="34" t="s">
        <v>1256</v>
      </c>
      <c r="D31" s="0" t="str">
        <f aca="false">IFERROR(__xludf.dummyfunction("SPLIT(B31,"" "")"),"Крючков")</f>
        <v>Крючков</v>
      </c>
      <c r="E31" s="0" t="str">
        <f aca="false">IFERROR(__xludf.dummyfunction("""COMPUTED_VALUE"""),"михаил")</f>
        <v>михаил</v>
      </c>
    </row>
    <row r="32" customFormat="false" ht="15.75" hidden="false" customHeight="false" outlineLevel="0" collapsed="false">
      <c r="A32" s="32" t="n">
        <v>43291.9454251042</v>
      </c>
      <c r="B32" s="34" t="s">
        <v>1257</v>
      </c>
      <c r="C32" s="43" t="s">
        <v>1258</v>
      </c>
      <c r="D32" s="0" t="str">
        <f aca="false">IFERROR(__xludf.dummyfunction("SPLIT(B32,"" "")"),"Кайданович")</f>
        <v>Кайданович</v>
      </c>
      <c r="E32" s="0" t="str">
        <f aca="false">IFERROR(__xludf.dummyfunction("""COMPUTED_VALUE"""),"Дарья")</f>
        <v>Дарья</v>
      </c>
    </row>
    <row r="33" customFormat="false" ht="15.75" hidden="false" customHeight="false" outlineLevel="0" collapsed="false">
      <c r="A33" s="32" t="n">
        <v>43291.9459573843</v>
      </c>
      <c r="B33" s="34" t="s">
        <v>1259</v>
      </c>
      <c r="C33" s="43" t="s">
        <v>1260</v>
      </c>
      <c r="D33" s="0" t="str">
        <f aca="false">IFERROR(__xludf.dummyfunction("SPLIT(B33,"" "")"),"Задворнов")</f>
        <v>Задворнов</v>
      </c>
      <c r="E33" s="0" t="str">
        <f aca="false">IFERROR(__xludf.dummyfunction("""COMPUTED_VALUE"""),"Славик")</f>
        <v>Славик</v>
      </c>
    </row>
    <row r="34" customFormat="false" ht="15.75" hidden="false" customHeight="false" outlineLevel="0" collapsed="false">
      <c r="A34" s="32" t="n">
        <v>43291.9463364236</v>
      </c>
      <c r="B34" s="34" t="s">
        <v>1261</v>
      </c>
      <c r="C34" s="43" t="s">
        <v>1262</v>
      </c>
      <c r="D34" s="0" t="str">
        <f aca="false">IFERROR(__xludf.dummyfunction("SPLIT(B34,"" "")"),"Макарова")</f>
        <v>Макарова</v>
      </c>
      <c r="E34" s="0" t="str">
        <f aca="false">IFERROR(__xludf.dummyfunction("""COMPUTED_VALUE"""),"Елизавета")</f>
        <v>Елизавета</v>
      </c>
    </row>
    <row r="35" customFormat="false" ht="15.75" hidden="false" customHeight="false" outlineLevel="0" collapsed="false">
      <c r="A35" s="32" t="n">
        <v>43291.9464390394</v>
      </c>
      <c r="B35" s="34" t="s">
        <v>1263</v>
      </c>
      <c r="C35" s="43" t="s">
        <v>1264</v>
      </c>
      <c r="D35" s="0" t="str">
        <f aca="false">IFERROR(__xludf.dummyfunction("SPLIT(B35,"" "")"),"Долгова")</f>
        <v>Долгова</v>
      </c>
      <c r="E35" s="0" t="str">
        <f aca="false">IFERROR(__xludf.dummyfunction("""COMPUTED_VALUE"""),"Анна")</f>
        <v>Анна</v>
      </c>
    </row>
    <row r="36" customFormat="false" ht="15.75" hidden="false" customHeight="false" outlineLevel="0" collapsed="false">
      <c r="A36" s="32" t="n">
        <v>43291.9466867708</v>
      </c>
      <c r="B36" s="34" t="s">
        <v>1265</v>
      </c>
      <c r="C36" s="43" t="s">
        <v>1266</v>
      </c>
      <c r="D36" s="0" t="str">
        <f aca="false">IFERROR(__xludf.dummyfunction("SPLIT(B36,"" "")"),"Козловская")</f>
        <v>Козловская</v>
      </c>
      <c r="E36" s="0" t="str">
        <f aca="false">IFERROR(__xludf.dummyfunction("""COMPUTED_VALUE"""),"Мария")</f>
        <v>Мария</v>
      </c>
    </row>
    <row r="37" customFormat="false" ht="15.75" hidden="false" customHeight="false" outlineLevel="0" collapsed="false">
      <c r="A37" s="32" t="n">
        <v>43291.9467473611</v>
      </c>
      <c r="B37" s="34" t="s">
        <v>1267</v>
      </c>
      <c r="C37" s="43" t="s">
        <v>1268</v>
      </c>
      <c r="D37" s="0" t="str">
        <f aca="false">IFERROR(__xludf.dummyfunction("SPLIT(B37,"" "")"),"Куличенко")</f>
        <v>Куличенко</v>
      </c>
      <c r="E37" s="0" t="str">
        <f aca="false">IFERROR(__xludf.dummyfunction("""COMPUTED_VALUE"""),"Катя")</f>
        <v>Катя</v>
      </c>
    </row>
    <row r="38" customFormat="false" ht="15.75" hidden="false" customHeight="false" outlineLevel="0" collapsed="false">
      <c r="A38" s="32" t="n">
        <v>43291.9467641782</v>
      </c>
      <c r="B38" s="34" t="s">
        <v>1269</v>
      </c>
      <c r="C38" s="43" t="s">
        <v>1270</v>
      </c>
      <c r="D38" s="0" t="str">
        <f aca="false">IFERROR(__xludf.dummyfunction("SPLIT(B38,"" "")"),"Вова")</f>
        <v>Вова</v>
      </c>
      <c r="E38" s="0" t="str">
        <f aca="false">IFERROR(__xludf.dummyfunction("""COMPUTED_VALUE"""),"Суднев")</f>
        <v>Суднев</v>
      </c>
    </row>
    <row r="39" customFormat="false" ht="15.75" hidden="false" customHeight="false" outlineLevel="0" collapsed="false">
      <c r="A39" s="32" t="n">
        <v>43291.947016713</v>
      </c>
      <c r="B39" s="34" t="s">
        <v>1271</v>
      </c>
      <c r="C39" s="43" t="s">
        <v>1272</v>
      </c>
      <c r="D39" s="0" t="str">
        <f aca="false">IFERROR(__xludf.dummyfunction("SPLIT(B39,"" "")"),"Савиных")</f>
        <v>Савиных</v>
      </c>
      <c r="E39" s="0" t="str">
        <f aca="false">IFERROR(__xludf.dummyfunction("""COMPUTED_VALUE"""),"Кристина")</f>
        <v>Кристина</v>
      </c>
    </row>
    <row r="40" customFormat="false" ht="15.75" hidden="false" customHeight="false" outlineLevel="0" collapsed="false">
      <c r="A40" s="32" t="n">
        <v>43291.9474511343</v>
      </c>
      <c r="B40" s="34" t="s">
        <v>1273</v>
      </c>
      <c r="C40" s="43" t="s">
        <v>1274</v>
      </c>
      <c r="D40" s="0" t="str">
        <f aca="false">IFERROR(__xludf.dummyfunction("SPLIT(B40,"" "")"),"Валитов")</f>
        <v>Валитов</v>
      </c>
      <c r="E40" s="0" t="str">
        <f aca="false">IFERROR(__xludf.dummyfunction("""COMPUTED_VALUE"""),"Андрей")</f>
        <v>Андрей</v>
      </c>
    </row>
    <row r="41" customFormat="false" ht="15.75" hidden="false" customHeight="false" outlineLevel="0" collapsed="false">
      <c r="A41" s="32" t="n">
        <v>43291.9478845833</v>
      </c>
      <c r="B41" s="34" t="s">
        <v>1275</v>
      </c>
      <c r="C41" s="43" t="s">
        <v>1276</v>
      </c>
      <c r="D41" s="0" t="str">
        <f aca="false">IFERROR(__xludf.dummyfunction("SPLIT(B41,"" "")"),"Малиновский")</f>
        <v>Малиновский</v>
      </c>
      <c r="E41" s="0" t="str">
        <f aca="false">IFERROR(__xludf.dummyfunction("""COMPUTED_VALUE"""),"Илья")</f>
        <v>Илья</v>
      </c>
    </row>
    <row r="42" customFormat="false" ht="15.75" hidden="false" customHeight="false" outlineLevel="0" collapsed="false">
      <c r="A42" s="32"/>
      <c r="B42" s="34"/>
      <c r="C42" s="43"/>
    </row>
    <row r="43" customFormat="false" ht="15.75" hidden="false" customHeight="false" outlineLevel="0" collapsed="false">
      <c r="A43" s="32" t="n">
        <v>43291.948504838</v>
      </c>
      <c r="B43" s="34" t="s">
        <v>1277</v>
      </c>
      <c r="C43" s="43" t="s">
        <v>1278</v>
      </c>
      <c r="D43" s="0" t="str">
        <f aca="false">IFERROR(__xludf.dummyfunction("SPLIT(B43,"" "")"),"Патронова")</f>
        <v>Патронова</v>
      </c>
      <c r="E43" s="0" t="str">
        <f aca="false">IFERROR(__xludf.dummyfunction("""COMPUTED_VALUE"""),"Елизавета")</f>
        <v>Елизавета</v>
      </c>
    </row>
    <row r="44" customFormat="false" ht="15.75" hidden="false" customHeight="false" outlineLevel="0" collapsed="false">
      <c r="A44" s="32" t="n">
        <v>43291.9492924421</v>
      </c>
      <c r="B44" s="34" t="s">
        <v>1279</v>
      </c>
      <c r="C44" s="43" t="s">
        <v>1280</v>
      </c>
      <c r="D44" s="0" t="str">
        <f aca="false">IFERROR(__xludf.dummyfunction("SPLIT(B44,"" "")"),"Лазарев")</f>
        <v>Лазарев</v>
      </c>
      <c r="E44" s="0" t="str">
        <f aca="false">IFERROR(__xludf.dummyfunction("""COMPUTED_VALUE"""),"Анатолий")</f>
        <v>Анатолий</v>
      </c>
    </row>
    <row r="45" customFormat="false" ht="15.75" hidden="false" customHeight="false" outlineLevel="0" collapsed="false">
      <c r="A45" s="32" t="n">
        <v>43291.9493777431</v>
      </c>
      <c r="B45" s="34" t="s">
        <v>1281</v>
      </c>
      <c r="C45" s="43" t="s">
        <v>1282</v>
      </c>
      <c r="D45" s="0" t="str">
        <f aca="false">IFERROR(__xludf.dummyfunction("SPLIT(B45,"" "")"),"Полищук")</f>
        <v>Полищук</v>
      </c>
      <c r="E45" s="0" t="str">
        <f aca="false">IFERROR(__xludf.dummyfunction("""COMPUTED_VALUE"""),"мария")</f>
        <v>мария</v>
      </c>
    </row>
    <row r="46" customFormat="false" ht="15.75" hidden="false" customHeight="false" outlineLevel="0" collapsed="false">
      <c r="A46" s="32" t="n">
        <v>43291.9498010185</v>
      </c>
      <c r="B46" s="34" t="s">
        <v>1283</v>
      </c>
      <c r="C46" s="43" t="s">
        <v>1284</v>
      </c>
      <c r="D46" s="0" t="str">
        <f aca="false">IFERROR(__xludf.dummyfunction("SPLIT(B46,"" "")"),"Изя")</f>
        <v>Изя</v>
      </c>
      <c r="E46" s="0" t="str">
        <f aca="false">IFERROR(__xludf.dummyfunction("""COMPUTED_VALUE"""),"Абрамович")</f>
        <v>Абрамович</v>
      </c>
    </row>
    <row r="47" customFormat="false" ht="15.75" hidden="false" customHeight="false" outlineLevel="0" collapsed="false">
      <c r="A47" s="32" t="n">
        <v>43291.9503015625</v>
      </c>
      <c r="B47" s="34" t="s">
        <v>1285</v>
      </c>
      <c r="C47" s="43" t="s">
        <v>1286</v>
      </c>
      <c r="D47" s="0" t="str">
        <f aca="false">IFERROR(__xludf.dummyfunction("SPLIT(B47,"" "")"),"Яна")</f>
        <v>Яна</v>
      </c>
      <c r="E47" s="0" t="str">
        <f aca="false">IFERROR(__xludf.dummyfunction("""COMPUTED_VALUE"""),"Франк")</f>
        <v>Франк</v>
      </c>
    </row>
    <row r="48" customFormat="false" ht="15.75" hidden="false" customHeight="false" outlineLevel="0" collapsed="false">
      <c r="A48" s="32" t="n">
        <v>43291.9511075</v>
      </c>
      <c r="B48" s="34" t="s">
        <v>1287</v>
      </c>
      <c r="C48" s="43" t="s">
        <v>1288</v>
      </c>
      <c r="D48" s="0" t="str">
        <f aca="false">IFERROR(__xludf.dummyfunction("SPLIT(B48,"" "")"),"Широкова")</f>
        <v>Широкова</v>
      </c>
      <c r="E48" s="0" t="str">
        <f aca="false">IFERROR(__xludf.dummyfunction("""COMPUTED_VALUE"""),"Ира")</f>
        <v>Ира</v>
      </c>
    </row>
    <row r="49" customFormat="false" ht="15.75" hidden="false" customHeight="false" outlineLevel="0" collapsed="false">
      <c r="A49" s="32" t="n">
        <v>43291.9514193287</v>
      </c>
      <c r="B49" s="34" t="s">
        <v>1289</v>
      </c>
      <c r="C49" s="34" t="s">
        <v>1290</v>
      </c>
      <c r="D49" s="0" t="str">
        <f aca="false">IFERROR(__xludf.dummyfunction("SPLIT(B49,"" "")"),"Гарбуз")</f>
        <v>Гарбуз</v>
      </c>
      <c r="E49" s="0" t="str">
        <f aca="false">IFERROR(__xludf.dummyfunction("""COMPUTED_VALUE"""),"Арина")</f>
        <v>Арина</v>
      </c>
    </row>
    <row r="50" customFormat="false" ht="15.75" hidden="false" customHeight="false" outlineLevel="0" collapsed="false">
      <c r="A50" s="32" t="n">
        <v>43291.9526306019</v>
      </c>
      <c r="B50" s="34" t="s">
        <v>1291</v>
      </c>
      <c r="C50" s="43" t="s">
        <v>1292</v>
      </c>
      <c r="D50" s="0" t="str">
        <f aca="false">IFERROR(__xludf.dummyfunction("SPLIT(B50,"" "")"),"Ира")</f>
        <v>Ира</v>
      </c>
      <c r="E50" s="0" t="str">
        <f aca="false">IFERROR(__xludf.dummyfunction("""COMPUTED_VALUE"""),"Геталова")</f>
        <v>Геталова</v>
      </c>
    </row>
    <row r="51" customFormat="false" ht="15.75" hidden="false" customHeight="false" outlineLevel="0" collapsed="false">
      <c r="A51" s="32" t="n">
        <v>43291.9527254282</v>
      </c>
      <c r="B51" s="34" t="s">
        <v>1293</v>
      </c>
      <c r="C51" s="43" t="s">
        <v>1294</v>
      </c>
      <c r="D51" s="0" t="str">
        <f aca="false">IFERROR(__xludf.dummyfunction("SPLIT(B51,"" "")"),"Кривцова")</f>
        <v>Кривцова</v>
      </c>
      <c r="E51" s="0" t="str">
        <f aca="false">IFERROR(__xludf.dummyfunction("""COMPUTED_VALUE"""),"Аня")</f>
        <v>Аня</v>
      </c>
    </row>
    <row r="52" customFormat="false" ht="15.75" hidden="false" customHeight="false" outlineLevel="0" collapsed="false">
      <c r="A52" s="32" t="n">
        <v>43291.9532951852</v>
      </c>
      <c r="B52" s="34" t="s">
        <v>1289</v>
      </c>
      <c r="C52" s="43" t="s">
        <v>1295</v>
      </c>
      <c r="D52" s="0" t="str">
        <f aca="false">IFERROR(__xludf.dummyfunction("SPLIT(B52,"" "")"),"Гарбуз")</f>
        <v>Гарбуз</v>
      </c>
      <c r="E52" s="0" t="str">
        <f aca="false">IFERROR(__xludf.dummyfunction("""COMPUTED_VALUE"""),"Арина")</f>
        <v>Арина</v>
      </c>
    </row>
    <row r="53" customFormat="false" ht="15.75" hidden="false" customHeight="false" outlineLevel="0" collapsed="false">
      <c r="A53" s="32" t="n">
        <v>43291.9533547917</v>
      </c>
      <c r="B53" s="34" t="s">
        <v>1296</v>
      </c>
      <c r="C53" s="43" t="s">
        <v>1297</v>
      </c>
      <c r="D53" s="0" t="str">
        <f aca="false">IFERROR(__xludf.dummyfunction("SPLIT(B53,"" "")"),"Руль")</f>
        <v>Руль</v>
      </c>
      <c r="E53" s="0" t="str">
        <f aca="false">IFERROR(__xludf.dummyfunction("""COMPUTED_VALUE"""),"Виктория")</f>
        <v>Виктория</v>
      </c>
    </row>
    <row r="54" customFormat="false" ht="15.75" hidden="false" customHeight="false" outlineLevel="0" collapsed="false">
      <c r="A54" s="32" t="n">
        <v>43291.9542595718</v>
      </c>
      <c r="B54" s="34" t="s">
        <v>1298</v>
      </c>
      <c r="C54" s="43" t="s">
        <v>1299</v>
      </c>
      <c r="D54" s="0" t="str">
        <f aca="false">IFERROR(__xludf.dummyfunction("SPLIT(B54,"" "")"),"Асаинов")</f>
        <v>Асаинов</v>
      </c>
      <c r="E54" s="0" t="str">
        <f aca="false">IFERROR(__xludf.dummyfunction("""COMPUTED_VALUE"""),"Дарий")</f>
        <v>Дарий</v>
      </c>
    </row>
    <row r="55" customFormat="false" ht="15.75" hidden="false" customHeight="false" outlineLevel="0" collapsed="false">
      <c r="A55" s="32" t="n">
        <v>43291.9551194097</v>
      </c>
      <c r="B55" s="34" t="s">
        <v>1300</v>
      </c>
      <c r="C55" s="43" t="s">
        <v>1288</v>
      </c>
      <c r="D55" s="0" t="str">
        <f aca="false">IFERROR(__xludf.dummyfunction("SPLIT(B55,"" "")"),"Антон")</f>
        <v>Антон</v>
      </c>
      <c r="E55" s="0" t="str">
        <f aca="false">IFERROR(__xludf.dummyfunction("""COMPUTED_VALUE"""),"Выдрин")</f>
        <v>Выдрин</v>
      </c>
    </row>
    <row r="56" customFormat="false" ht="15.75" hidden="false" customHeight="false" outlineLevel="0" collapsed="false">
      <c r="A56" s="32" t="n">
        <v>43291.9580324884</v>
      </c>
      <c r="B56" s="34" t="s">
        <v>1301</v>
      </c>
      <c r="C56" s="43" t="s">
        <v>1302</v>
      </c>
      <c r="D56" s="0" t="str">
        <f aca="false">IFERROR(__xludf.dummyfunction("SPLIT(B56,"" "")"),"Протченко")</f>
        <v>Протченко</v>
      </c>
      <c r="E56" s="0" t="str">
        <f aca="false">IFERROR(__xludf.dummyfunction("""COMPUTED_VALUE"""),"Анастасия")</f>
        <v>Анастасия</v>
      </c>
    </row>
    <row r="57" customFormat="false" ht="15.75" hidden="false" customHeight="false" outlineLevel="0" collapsed="false">
      <c r="A57" s="32" t="n">
        <v>43291.9591123611</v>
      </c>
      <c r="B57" s="34" t="s">
        <v>1303</v>
      </c>
      <c r="C57" s="43" t="s">
        <v>1304</v>
      </c>
      <c r="D57" s="0" t="str">
        <f aca="false">IFERROR(__xludf.dummyfunction("SPLIT(B57,"" "")"),"Лёха")</f>
        <v>Лёха</v>
      </c>
    </row>
    <row r="58" customFormat="false" ht="15.75" hidden="false" customHeight="false" outlineLevel="0" collapsed="false">
      <c r="A58" s="32" t="n">
        <v>43291.9603780556</v>
      </c>
      <c r="B58" s="34" t="s">
        <v>1305</v>
      </c>
      <c r="C58" s="43" t="s">
        <v>1306</v>
      </c>
      <c r="D58" s="0" t="str">
        <f aca="false">IFERROR(__xludf.dummyfunction("SPLIT(B58,"" "")"),"Протазанова")</f>
        <v>Протазанова</v>
      </c>
      <c r="E58" s="0" t="str">
        <f aca="false">IFERROR(__xludf.dummyfunction("""COMPUTED_VALUE"""),"Ольга")</f>
        <v>Ольга</v>
      </c>
    </row>
    <row r="59" customFormat="false" ht="15.75" hidden="false" customHeight="false" outlineLevel="0" collapsed="false">
      <c r="A59" s="32" t="n">
        <v>43291.9615459491</v>
      </c>
      <c r="B59" s="34" t="s">
        <v>1307</v>
      </c>
      <c r="C59" s="43" t="s">
        <v>1308</v>
      </c>
      <c r="D59" s="0" t="str">
        <f aca="false">IFERROR(__xludf.dummyfunction("SPLIT(B59,"" "")"),"Васильева")</f>
        <v>Васильева</v>
      </c>
      <c r="E59" s="0" t="str">
        <f aca="false">IFERROR(__xludf.dummyfunction("""COMPUTED_VALUE"""),"Маша")</f>
        <v>Маша</v>
      </c>
    </row>
    <row r="60" customFormat="false" ht="15.75" hidden="false" customHeight="false" outlineLevel="0" collapsed="false">
      <c r="A60" s="32" t="n">
        <v>43291.9616711111</v>
      </c>
      <c r="B60" s="34" t="s">
        <v>1309</v>
      </c>
      <c r="C60" s="43" t="s">
        <v>1310</v>
      </c>
      <c r="D60" s="0" t="str">
        <f aca="false">IFERROR(__xludf.dummyfunction("SPLIT(B60,"" "")"),"Лян")</f>
        <v>Лян</v>
      </c>
      <c r="E60" s="0" t="str">
        <f aca="false">IFERROR(__xludf.dummyfunction("""COMPUTED_VALUE"""),"Слава")</f>
        <v>Слава</v>
      </c>
    </row>
    <row r="61" customFormat="false" ht="15.75" hidden="false" customHeight="false" outlineLevel="0" collapsed="false">
      <c r="A61" s="32"/>
      <c r="B61" s="34"/>
      <c r="C61" s="43"/>
    </row>
    <row r="62" customFormat="false" ht="15.75" hidden="false" customHeight="false" outlineLevel="0" collapsed="false">
      <c r="A62" s="32"/>
      <c r="B62" s="34"/>
      <c r="C62" s="43"/>
    </row>
    <row r="63" customFormat="false" ht="15.75" hidden="false" customHeight="false" outlineLevel="0" collapsed="false">
      <c r="A63" s="32"/>
      <c r="B63" s="34"/>
      <c r="C63" s="43"/>
    </row>
    <row r="64" customFormat="false" ht="15.75" hidden="false" customHeight="false" outlineLevel="0" collapsed="false">
      <c r="A64" s="32"/>
      <c r="B64" s="34"/>
      <c r="C64" s="43"/>
    </row>
    <row r="65" customFormat="false" ht="15.75" hidden="false" customHeight="false" outlineLevel="0" collapsed="false">
      <c r="A65" s="32" t="n">
        <v>43291.9629121644</v>
      </c>
      <c r="B65" s="34" t="s">
        <v>1311</v>
      </c>
      <c r="C65" s="43" t="s">
        <v>1312</v>
      </c>
      <c r="D65" s="0" t="str">
        <f aca="false">IFERROR(__xludf.dummyfunction("SPLIT(B65,"" "")"),"Черных")</f>
        <v>Черных</v>
      </c>
      <c r="E65" s="0" t="str">
        <f aca="false">IFERROR(__xludf.dummyfunction("""COMPUTED_VALUE"""),"Софья")</f>
        <v>Софья</v>
      </c>
    </row>
    <row r="66" customFormat="false" ht="15.75" hidden="false" customHeight="false" outlineLevel="0" collapsed="false">
      <c r="A66" s="32"/>
      <c r="B66" s="34"/>
      <c r="C66" s="34"/>
    </row>
    <row r="67" customFormat="false" ht="15.75" hidden="false" customHeight="false" outlineLevel="0" collapsed="false">
      <c r="A67" s="32" t="n">
        <v>43291.9645525694</v>
      </c>
      <c r="B67" s="34" t="s">
        <v>1313</v>
      </c>
      <c r="C67" s="43" t="s">
        <v>1314</v>
      </c>
      <c r="D67" s="0" t="str">
        <f aca="false">IFERROR(__xludf.dummyfunction("SPLIT(B67,"" "")"),"Черкасов")</f>
        <v>Черкасов</v>
      </c>
      <c r="E67" s="0" t="str">
        <f aca="false">IFERROR(__xludf.dummyfunction("""COMPUTED_VALUE"""),"Глеб")</f>
        <v>Глеб</v>
      </c>
    </row>
    <row r="68" customFormat="false" ht="15.75" hidden="false" customHeight="false" outlineLevel="0" collapsed="false">
      <c r="A68" s="32" t="n">
        <v>43291.9703553472</v>
      </c>
      <c r="B68" s="34" t="s">
        <v>1315</v>
      </c>
      <c r="C68" s="43" t="s">
        <v>1316</v>
      </c>
      <c r="D68" s="0" t="str">
        <f aca="false">IFERROR(__xludf.dummyfunction("SPLIT(B68,"" "")"),"Малышков")</f>
        <v>Малышков</v>
      </c>
      <c r="E68" s="0" t="str">
        <f aca="false">IFERROR(__xludf.dummyfunction("""COMPUTED_VALUE"""),"Роман")</f>
        <v>Роман</v>
      </c>
    </row>
    <row r="69" customFormat="false" ht="15.75" hidden="false" customHeight="false" outlineLevel="0" collapsed="false">
      <c r="A69" s="32" t="n">
        <v>43291.9729725231</v>
      </c>
      <c r="B69" s="34" t="s">
        <v>1317</v>
      </c>
      <c r="C69" s="43" t="s">
        <v>1318</v>
      </c>
      <c r="D69" s="0" t="str">
        <f aca="false">IFERROR(__xludf.dummyfunction("SPLIT(B69,"" "")"),"Любавина")</f>
        <v>Любавина</v>
      </c>
      <c r="E69" s="0" t="str">
        <f aca="false">IFERROR(__xludf.dummyfunction("""COMPUTED_VALUE"""),"София")</f>
        <v>София</v>
      </c>
    </row>
    <row r="70" customFormat="false" ht="15.75" hidden="false" customHeight="false" outlineLevel="0" collapsed="false">
      <c r="A70" s="32" t="n">
        <v>43291.9757343866</v>
      </c>
      <c r="B70" s="34" t="s">
        <v>1319</v>
      </c>
      <c r="C70" s="43" t="s">
        <v>1320</v>
      </c>
      <c r="D70" s="0" t="str">
        <f aca="false">IFERROR(__xludf.dummyfunction("SPLIT(B70,"" "")"),"Власов")</f>
        <v>Власов</v>
      </c>
      <c r="E70" s="0" t="str">
        <f aca="false">IFERROR(__xludf.dummyfunction("""COMPUTED_VALUE"""),"Роман")</f>
        <v>Роман</v>
      </c>
    </row>
    <row r="71" customFormat="false" ht="15.75" hidden="false" customHeight="false" outlineLevel="0" collapsed="false">
      <c r="A71" s="32" t="n">
        <v>43291.9769279861</v>
      </c>
      <c r="B71" s="34" t="s">
        <v>1321</v>
      </c>
      <c r="C71" s="43" t="s">
        <v>1322</v>
      </c>
      <c r="D71" s="0" t="str">
        <f aca="false">IFERROR(__xludf.dummyfunction("SPLIT(B71,"" "")"),"Ксюша")</f>
        <v>Ксюша</v>
      </c>
      <c r="E71" s="0" t="str">
        <f aca="false">IFERROR(__xludf.dummyfunction("""COMPUTED_VALUE"""),"Сушкова")</f>
        <v>Сушкова</v>
      </c>
    </row>
    <row r="72" customFormat="false" ht="15.75" hidden="false" customHeight="false" outlineLevel="0" collapsed="false">
      <c r="A72" s="32" t="n">
        <v>43291.9781485764</v>
      </c>
      <c r="B72" s="34" t="s">
        <v>1323</v>
      </c>
      <c r="C72" s="43" t="s">
        <v>1324</v>
      </c>
      <c r="D72" s="0" t="str">
        <f aca="false">IFERROR(__xludf.dummyfunction("SPLIT(B72,"" "")"),"Гуртовенко")</f>
        <v>Гуртовенко</v>
      </c>
      <c r="E72" s="0" t="str">
        <f aca="false">IFERROR(__xludf.dummyfunction("""COMPUTED_VALUE"""),"Юля")</f>
        <v>Юля</v>
      </c>
    </row>
    <row r="73" customFormat="false" ht="15.75" hidden="false" customHeight="false" outlineLevel="0" collapsed="false">
      <c r="A73" s="32" t="n">
        <v>43291.9814537384</v>
      </c>
      <c r="B73" s="34" t="s">
        <v>1325</v>
      </c>
      <c r="C73" s="43" t="s">
        <v>1326</v>
      </c>
      <c r="D73" s="0" t="str">
        <f aca="false">IFERROR(__xludf.dummyfunction("SPLIT(B73,"" "")"),"Белим")</f>
        <v>Белим</v>
      </c>
      <c r="E73" s="0" t="str">
        <f aca="false">IFERROR(__xludf.dummyfunction("""COMPUTED_VALUE"""),"Екатерина")</f>
        <v>Екатерина</v>
      </c>
    </row>
    <row r="74" customFormat="false" ht="15.75" hidden="false" customHeight="false" outlineLevel="0" collapsed="false">
      <c r="A74" s="32" t="n">
        <v>43291.9817818171</v>
      </c>
      <c r="B74" s="34" t="s">
        <v>1327</v>
      </c>
      <c r="C74" s="34" t="s">
        <v>1328</v>
      </c>
      <c r="D74" s="0" t="str">
        <f aca="false">IFERROR(__xludf.dummyfunction("SPLIT(B74,"" "")"),"Христолюбов")</f>
        <v>Христолюбов</v>
      </c>
      <c r="E74" s="0" t="str">
        <f aca="false">IFERROR(__xludf.dummyfunction("""COMPUTED_VALUE"""),"Богдан")</f>
        <v>Богдан</v>
      </c>
    </row>
    <row r="75" customFormat="false" ht="15.75" hidden="false" customHeight="false" outlineLevel="0" collapsed="false">
      <c r="A75" s="32" t="n">
        <v>43291.9854734722</v>
      </c>
      <c r="B75" s="34" t="s">
        <v>1329</v>
      </c>
      <c r="C75" s="43" t="s">
        <v>1330</v>
      </c>
      <c r="D75" s="0" t="str">
        <f aca="false">IFERROR(__xludf.dummyfunction("SPLIT(B75,"" "")"),"Малыхина")</f>
        <v>Малыхина</v>
      </c>
      <c r="E75" s="0" t="str">
        <f aca="false">IFERROR(__xludf.dummyfunction("""COMPUTED_VALUE"""),"Анастасия")</f>
        <v>Анастасия</v>
      </c>
    </row>
    <row r="76" customFormat="false" ht="15.75" hidden="false" customHeight="false" outlineLevel="0" collapsed="false">
      <c r="A76" s="32" t="n">
        <v>43291.9919041667</v>
      </c>
      <c r="B76" s="34" t="s">
        <v>1331</v>
      </c>
      <c r="C76" s="34" t="s">
        <v>1332</v>
      </c>
      <c r="D76" s="0" t="str">
        <f aca="false">IFERROR(__xludf.dummyfunction("SPLIT(B76,"" "")"),"Мартынова")</f>
        <v>Мартынова</v>
      </c>
      <c r="E76" s="0" t="str">
        <f aca="false">IFERROR(__xludf.dummyfunction("""COMPUTED_VALUE"""),"Анастасия")</f>
        <v>Анастасия</v>
      </c>
    </row>
    <row r="77" customFormat="false" ht="15.75" hidden="false" customHeight="false" outlineLevel="0" collapsed="false">
      <c r="A77" s="32" t="n">
        <v>43291.9966628819</v>
      </c>
      <c r="B77" s="34" t="s">
        <v>1333</v>
      </c>
      <c r="C77" s="43" t="s">
        <v>1334</v>
      </c>
      <c r="D77" s="0" t="str">
        <f aca="false">IFERROR(__xludf.dummyfunction("SPLIT(B77,"" "")"),"Уманский")</f>
        <v>Уманский</v>
      </c>
      <c r="E77" s="0" t="str">
        <f aca="false">IFERROR(__xludf.dummyfunction("""COMPUTED_VALUE"""),"Роман")</f>
        <v>Роман</v>
      </c>
    </row>
    <row r="78" customFormat="false" ht="15.75" hidden="false" customHeight="false" outlineLevel="0" collapsed="false">
      <c r="A78" s="32" t="n">
        <v>43292.0046658912</v>
      </c>
      <c r="B78" s="34" t="s">
        <v>1335</v>
      </c>
      <c r="C78" s="43" t="s">
        <v>1336</v>
      </c>
      <c r="D78" s="0" t="str">
        <f aca="false">IFERROR(__xludf.dummyfunction("SPLIT(B78,"" "")"),"Моисеева")</f>
        <v>Моисеева</v>
      </c>
      <c r="E78" s="0" t="str">
        <f aca="false">IFERROR(__xludf.dummyfunction("""COMPUTED_VALUE"""),"Вероника")</f>
        <v>Вероника</v>
      </c>
    </row>
    <row r="79" customFormat="false" ht="15.75" hidden="false" customHeight="false" outlineLevel="0" collapsed="false">
      <c r="A79" s="32" t="n">
        <v>43292.0056441319</v>
      </c>
      <c r="B79" s="34" t="s">
        <v>1337</v>
      </c>
      <c r="C79" s="43" t="s">
        <v>1338</v>
      </c>
      <c r="D79" s="0" t="str">
        <f aca="false">IFERROR(__xludf.dummyfunction("SPLIT(B79,"" "")"),"Татаурова")</f>
        <v>Татаурова</v>
      </c>
      <c r="E79" s="0" t="str">
        <f aca="false">IFERROR(__xludf.dummyfunction("""COMPUTED_VALUE"""),"Софья")</f>
        <v>Софья</v>
      </c>
    </row>
    <row r="80" customFormat="false" ht="15.75" hidden="false" customHeight="false" outlineLevel="0" collapsed="false">
      <c r="A80" s="32" t="n">
        <v>43292.0058854167</v>
      </c>
      <c r="B80" s="34" t="s">
        <v>1339</v>
      </c>
      <c r="C80" s="34" t="s">
        <v>1235</v>
      </c>
      <c r="D80" s="0" t="str">
        <f aca="false">IFERROR(__xludf.dummyfunction("SPLIT(B80,"" "")"),"Муравьева")</f>
        <v>Муравьева</v>
      </c>
      <c r="E80" s="0" t="str">
        <f aca="false">IFERROR(__xludf.dummyfunction("""COMPUTED_VALUE"""),"Мария")</f>
        <v>Мария</v>
      </c>
    </row>
    <row r="81" customFormat="false" ht="15.75" hidden="false" customHeight="false" outlineLevel="0" collapsed="false">
      <c r="A81" s="32" t="n">
        <v>43292.0284884028</v>
      </c>
      <c r="B81" s="34" t="s">
        <v>1340</v>
      </c>
      <c r="C81" s="34" t="s">
        <v>1341</v>
      </c>
      <c r="D81" s="0" t="str">
        <f aca="false">IFERROR(__xludf.dummyfunction("SPLIT(B81,"" "")"),"Панов")</f>
        <v>Панов</v>
      </c>
      <c r="E81" s="0" t="str">
        <f aca="false">IFERROR(__xludf.dummyfunction("""COMPUTED_VALUE"""),"Севастьян")</f>
        <v>Севастьян</v>
      </c>
    </row>
    <row r="82" customFormat="false" ht="15.75" hidden="false" customHeight="false" outlineLevel="0" collapsed="false">
      <c r="A82" s="32" t="n">
        <v>43292.3018683681</v>
      </c>
      <c r="B82" s="34" t="s">
        <v>1342</v>
      </c>
      <c r="C82" s="43" t="s">
        <v>1288</v>
      </c>
      <c r="D82" s="0" t="str">
        <f aca="false">IFERROR(__xludf.dummyfunction("SPLIT(B82,"" "")"),"Крючков")</f>
        <v>Крючков</v>
      </c>
      <c r="E82" s="0" t="str">
        <f aca="false">IFERROR(__xludf.dummyfunction("""COMPUTED_VALUE"""),"Сергей")</f>
        <v>Сергей</v>
      </c>
    </row>
    <row r="83" customFormat="false" ht="15.75" hidden="false" customHeight="false" outlineLevel="0" collapsed="false">
      <c r="A83" s="32" t="n">
        <v>43292.307166331</v>
      </c>
      <c r="B83" s="34" t="s">
        <v>1343</v>
      </c>
      <c r="C83" s="43" t="s">
        <v>1344</v>
      </c>
      <c r="D83" s="0" t="str">
        <f aca="false">IFERROR(__xludf.dummyfunction("SPLIT(B83,"" "")"),"Борисец")</f>
        <v>Борисец</v>
      </c>
      <c r="E83" s="0" t="str">
        <f aca="false">IFERROR(__xludf.dummyfunction("""COMPUTED_VALUE"""),"Анастасия")</f>
        <v>Анастасия</v>
      </c>
    </row>
    <row r="84" customFormat="false" ht="15.75" hidden="false" customHeight="false" outlineLevel="0" collapsed="false">
      <c r="A84" s="32" t="n">
        <v>43292.3078468287</v>
      </c>
      <c r="B84" s="34" t="s">
        <v>1345</v>
      </c>
      <c r="C84" s="43" t="s">
        <v>1346</v>
      </c>
      <c r="D84" s="0" t="str">
        <f aca="false">IFERROR(__xludf.dummyfunction("SPLIT(B84,"" "")"),"Братухина")</f>
        <v>Братухина</v>
      </c>
      <c r="E84" s="0" t="str">
        <f aca="false">IFERROR(__xludf.dummyfunction("""COMPUTED_VALUE"""),"Альбина")</f>
        <v>Альбина</v>
      </c>
    </row>
    <row r="85" customFormat="false" ht="15.75" hidden="false" customHeight="false" outlineLevel="0" collapsed="false">
      <c r="A85" s="32" t="n">
        <v>43292.3124560301</v>
      </c>
      <c r="B85" s="34" t="s">
        <v>1347</v>
      </c>
      <c r="C85" s="43" t="s">
        <v>1348</v>
      </c>
      <c r="D85" s="0" t="str">
        <f aca="false">IFERROR(__xludf.dummyfunction("SPLIT(B85,"" "")"),"Никифоров")</f>
        <v>Никифоров</v>
      </c>
      <c r="E85" s="0" t="str">
        <f aca="false">IFERROR(__xludf.dummyfunction("""COMPUTED_VALUE"""),"Лука")</f>
        <v>Лука</v>
      </c>
    </row>
    <row r="86" customFormat="false" ht="15.75" hidden="false" customHeight="false" outlineLevel="0" collapsed="false">
      <c r="A86" s="32"/>
      <c r="B86" s="34"/>
      <c r="C86" s="43"/>
    </row>
    <row r="87" customFormat="false" ht="15.75" hidden="false" customHeight="false" outlineLevel="0" collapsed="false">
      <c r="A87" s="32" t="n">
        <v>43292.3157663194</v>
      </c>
      <c r="B87" s="34" t="s">
        <v>1349</v>
      </c>
      <c r="C87" s="43" t="s">
        <v>1350</v>
      </c>
      <c r="D87" s="0" t="str">
        <f aca="false">IFERROR(__xludf.dummyfunction("SPLIT(B87,"" "")"),"Усова")</f>
        <v>Усова</v>
      </c>
      <c r="E87" s="0" t="str">
        <f aca="false">IFERROR(__xludf.dummyfunction("""COMPUTED_VALUE"""),"Вероника")</f>
        <v>Вероника</v>
      </c>
    </row>
    <row r="88" customFormat="false" ht="15.75" hidden="false" customHeight="false" outlineLevel="0" collapsed="false">
      <c r="A88" s="32" t="n">
        <v>43292.3366779514</v>
      </c>
      <c r="B88" s="34" t="s">
        <v>1198</v>
      </c>
      <c r="C88" s="43" t="s">
        <v>1199</v>
      </c>
      <c r="D88" s="0" t="str">
        <f aca="false">IFERROR(__xludf.dummyfunction("SPLIT(B88,"" "")"),"Нестеров")</f>
        <v>Нестеров</v>
      </c>
      <c r="E88" s="0" t="str">
        <f aca="false">IFERROR(__xludf.dummyfunction("""COMPUTED_VALUE"""),"Денис")</f>
        <v>Денис</v>
      </c>
    </row>
    <row r="89" customFormat="false" ht="15.75" hidden="false" customHeight="false" outlineLevel="0" collapsed="false">
      <c r="A89" s="32" t="n">
        <v>43292.3372470023</v>
      </c>
      <c r="B89" s="34" t="s">
        <v>1198</v>
      </c>
      <c r="C89" s="43" t="s">
        <v>1199</v>
      </c>
      <c r="D89" s="0" t="str">
        <f aca="false">IFERROR(__xludf.dummyfunction("SPLIT(B89,"" "")"),"Нестеров")</f>
        <v>Нестеров</v>
      </c>
      <c r="E89" s="0" t="str">
        <f aca="false">IFERROR(__xludf.dummyfunction("""COMPUTED_VALUE"""),"Денис")</f>
        <v>Денис</v>
      </c>
    </row>
    <row r="90" customFormat="false" ht="15.75" hidden="false" customHeight="false" outlineLevel="0" collapsed="false">
      <c r="A90" s="32" t="n">
        <v>43292.345377419</v>
      </c>
      <c r="B90" s="34" t="s">
        <v>1351</v>
      </c>
      <c r="C90" s="43" t="s">
        <v>1352</v>
      </c>
      <c r="D90" s="0" t="str">
        <f aca="false">IFERROR(__xludf.dummyfunction("SPLIT(B90,"" "")"),"Тарасенко")</f>
        <v>Тарасенко</v>
      </c>
      <c r="E90" s="0" t="str">
        <f aca="false">IFERROR(__xludf.dummyfunction("""COMPUTED_VALUE"""),"Леонид")</f>
        <v>Леонид</v>
      </c>
    </row>
    <row r="91" customFormat="false" ht="15.75" hidden="false" customHeight="false" outlineLevel="0" collapsed="false">
      <c r="A91" s="32" t="n">
        <v>43292.3550439931</v>
      </c>
      <c r="B91" s="34" t="s">
        <v>1198</v>
      </c>
      <c r="C91" s="43" t="s">
        <v>1199</v>
      </c>
      <c r="D91" s="0" t="str">
        <f aca="false">IFERROR(__xludf.dummyfunction("SPLIT(B91,"" "")"),"Нестеров")</f>
        <v>Нестеров</v>
      </c>
      <c r="E91" s="0" t="str">
        <f aca="false">IFERROR(__xludf.dummyfunction("""COMPUTED_VALUE"""),"Денис")</f>
        <v>Денис</v>
      </c>
    </row>
    <row r="92" customFormat="false" ht="15.75" hidden="false" customHeight="false" outlineLevel="0" collapsed="false">
      <c r="A92" s="32" t="n">
        <v>43292.3569795486</v>
      </c>
      <c r="B92" s="34" t="s">
        <v>1353</v>
      </c>
      <c r="C92" s="43" t="s">
        <v>1354</v>
      </c>
      <c r="D92" s="0" t="str">
        <f aca="false">IFERROR(__xludf.dummyfunction("SPLIT(B92,"" "")"),"Гнедина")</f>
        <v>Гнедина</v>
      </c>
      <c r="E92" s="0" t="str">
        <f aca="false">IFERROR(__xludf.dummyfunction("""COMPUTED_VALUE"""),"Юлия")</f>
        <v>Юлия</v>
      </c>
    </row>
    <row r="93" customFormat="false" ht="15.75" hidden="false" customHeight="false" outlineLevel="0" collapsed="false">
      <c r="A93" s="32" t="n">
        <v>43292.3611714005</v>
      </c>
      <c r="B93" s="34" t="s">
        <v>1355</v>
      </c>
      <c r="C93" s="43" t="s">
        <v>1356</v>
      </c>
      <c r="D93" s="0" t="str">
        <f aca="false">IFERROR(__xludf.dummyfunction("SPLIT(B93,"" "")"),"Лиза")</f>
        <v>Лиза</v>
      </c>
    </row>
    <row r="94" customFormat="false" ht="15.75" hidden="false" customHeight="false" outlineLevel="0" collapsed="false">
      <c r="A94" s="32" t="n">
        <v>43292.3740173611</v>
      </c>
      <c r="B94" s="34" t="s">
        <v>1357</v>
      </c>
      <c r="C94" s="43" t="s">
        <v>1358</v>
      </c>
      <c r="D94" s="0" t="str">
        <f aca="false">IFERROR(__xludf.dummyfunction("SPLIT(B94,"" "")"),"Бурляев")</f>
        <v>Бурляев</v>
      </c>
      <c r="E94" s="0" t="str">
        <f aca="false">IFERROR(__xludf.dummyfunction("""COMPUTED_VALUE"""),"Илья")</f>
        <v>Илья</v>
      </c>
    </row>
    <row r="95" customFormat="false" ht="15.75" hidden="false" customHeight="false" outlineLevel="0" collapsed="false">
      <c r="A95" s="32" t="n">
        <v>43292.3754928125</v>
      </c>
      <c r="B95" s="34" t="s">
        <v>1359</v>
      </c>
      <c r="C95" s="43" t="s">
        <v>1360</v>
      </c>
      <c r="D95" s="0" t="str">
        <f aca="false">IFERROR(__xludf.dummyfunction("SPLIT(B95,"" "")"),"Терновая")</f>
        <v>Терновая</v>
      </c>
      <c r="E95" s="0" t="str">
        <f aca="false">IFERROR(__xludf.dummyfunction("""COMPUTED_VALUE"""),"Надежда")</f>
        <v>Надежда</v>
      </c>
    </row>
    <row r="96" customFormat="false" ht="15.75" hidden="false" customHeight="false" outlineLevel="0" collapsed="false">
      <c r="A96" s="32" t="n">
        <v>43292.4278927893</v>
      </c>
      <c r="B96" s="34" t="s">
        <v>1361</v>
      </c>
      <c r="C96" s="34" t="s">
        <v>1328</v>
      </c>
      <c r="D96" s="0" t="str">
        <f aca="false">IFERROR(__xludf.dummyfunction("SPLIT(B96,"" "")"),"Желнин")</f>
        <v>Желнин</v>
      </c>
      <c r="E96" s="0" t="str">
        <f aca="false">IFERROR(__xludf.dummyfunction("""COMPUTED_VALUE"""),"Максим")</f>
        <v>Максим</v>
      </c>
    </row>
    <row r="97" customFormat="false" ht="15.75" hidden="false" customHeight="false" outlineLevel="0" collapsed="false">
      <c r="A97" s="32" t="n">
        <v>43292.4303973264</v>
      </c>
      <c r="B97" s="34" t="s">
        <v>1362</v>
      </c>
      <c r="C97" s="43" t="s">
        <v>1363</v>
      </c>
      <c r="D97" s="0" t="str">
        <f aca="false">IFERROR(__xludf.dummyfunction("SPLIT(B97,"" "")"),"Элизабетттт")</f>
        <v>Элизабетттт</v>
      </c>
    </row>
    <row r="98" customFormat="false" ht="15.75" hidden="false" customHeight="false" outlineLevel="0" collapsed="false">
      <c r="A98" s="32" t="n">
        <v>43292.4641766088</v>
      </c>
      <c r="B98" s="34" t="s">
        <v>1364</v>
      </c>
      <c r="C98" s="34" t="s">
        <v>1256</v>
      </c>
      <c r="D98" s="0" t="str">
        <f aca="false">IFERROR(__xludf.dummyfunction("SPLIT(B98,"" "")"),"Анохина")</f>
        <v>Анохина</v>
      </c>
      <c r="E98" s="0" t="str">
        <f aca="false">IFERROR(__xludf.dummyfunction("""COMPUTED_VALUE"""),"Полина")</f>
        <v>Полина</v>
      </c>
    </row>
    <row r="99" customFormat="false" ht="15.75" hidden="false" customHeight="false" outlineLevel="0" collapsed="false">
      <c r="A99" s="32" t="n">
        <v>43292.4773744792</v>
      </c>
      <c r="B99" s="34" t="s">
        <v>1365</v>
      </c>
      <c r="C99" s="43" t="s">
        <v>1366</v>
      </c>
      <c r="D99" s="0" t="str">
        <f aca="false">IFERROR(__xludf.dummyfunction("SPLIT(B99,"" "")"),"Синельникова")</f>
        <v>Синельникова</v>
      </c>
      <c r="E99" s="0" t="str">
        <f aca="false">IFERROR(__xludf.dummyfunction("""COMPUTED_VALUE"""),"Поля")</f>
        <v>Поля</v>
      </c>
    </row>
    <row r="100" customFormat="false" ht="15.75" hidden="false" customHeight="false" outlineLevel="0" collapsed="false">
      <c r="A100" s="32" t="n">
        <v>43292.6880745023</v>
      </c>
      <c r="B100" s="34" t="s">
        <v>1367</v>
      </c>
      <c r="C100" s="43" t="s">
        <v>1368</v>
      </c>
      <c r="D100" s="0" t="str">
        <f aca="false">IFERROR(__xludf.dummyfunction("SPLIT(B100,"" "")"),"Терехова")</f>
        <v>Терехова</v>
      </c>
      <c r="E100" s="0" t="str">
        <f aca="false">IFERROR(__xludf.dummyfunction("""COMPUTED_VALUE"""),"Мария")</f>
        <v>Мария</v>
      </c>
    </row>
    <row r="101" customFormat="false" ht="15.75" hidden="false" customHeight="false" outlineLevel="0" collapsed="false">
      <c r="A101" s="32" t="n">
        <v>43292.7086729167</v>
      </c>
      <c r="B101" s="34" t="s">
        <v>1369</v>
      </c>
      <c r="C101" s="43" t="s">
        <v>1370</v>
      </c>
      <c r="D101" s="0" t="str">
        <f aca="false">IFERROR(__xludf.dummyfunction("SPLIT(B101,"" "")"),"Шишко")</f>
        <v>Шишко</v>
      </c>
      <c r="E101" s="0" t="str">
        <f aca="false">IFERROR(__xludf.dummyfunction("""COMPUTED_VALUE"""),"Алёна")</f>
        <v>Алёна</v>
      </c>
    </row>
    <row r="102" customFormat="false" ht="15.75" hidden="false" customHeight="false" outlineLevel="0" collapsed="false">
      <c r="A102" s="32" t="n">
        <v>43292.7089151273</v>
      </c>
      <c r="B102" s="34" t="s">
        <v>1371</v>
      </c>
      <c r="C102" s="43" t="s">
        <v>1372</v>
      </c>
      <c r="D102" s="0" t="str">
        <f aca="false">IFERROR(__xludf.dummyfunction("SPLIT(B102,"" "")"),"Алёна")</f>
        <v>Алёна</v>
      </c>
      <c r="E102" s="0" t="str">
        <f aca="false">IFERROR(__xludf.dummyfunction("""COMPUTED_VALUE"""),"Янковская")</f>
        <v>Янковская</v>
      </c>
    </row>
    <row r="103" customFormat="false" ht="15.75" hidden="false" customHeight="false" outlineLevel="0" collapsed="false">
      <c r="A103" s="32" t="n">
        <v>43292.7124630903</v>
      </c>
      <c r="B103" s="34" t="s">
        <v>1373</v>
      </c>
      <c r="C103" s="43" t="s">
        <v>1374</v>
      </c>
      <c r="D103" s="0" t="str">
        <f aca="false">IFERROR(__xludf.dummyfunction("SPLIT(B103,"" "")"),"Кузин")</f>
        <v>Кузин</v>
      </c>
      <c r="E103" s="0" t="str">
        <f aca="false">IFERROR(__xludf.dummyfunction("""COMPUTED_VALUE"""),"Никита")</f>
        <v>Никита</v>
      </c>
    </row>
    <row r="104" customFormat="false" ht="15.75" hidden="false" customHeight="false" outlineLevel="0" collapsed="false">
      <c r="A104" s="32" t="n">
        <v>43292.7971606945</v>
      </c>
      <c r="B104" s="34" t="s">
        <v>1375</v>
      </c>
      <c r="C104" s="43" t="s">
        <v>1376</v>
      </c>
      <c r="D104" s="0" t="str">
        <f aca="false">IFERROR(__xludf.dummyfunction("SPLIT(B104,"" "")"),"Матвей")</f>
        <v>Матвей</v>
      </c>
      <c r="E104" s="0" t="str">
        <f aca="false">IFERROR(__xludf.dummyfunction("""COMPUTED_VALUE"""),"Измайлов")</f>
        <v>Измайлов</v>
      </c>
    </row>
    <row r="105" customFormat="false" ht="15.75" hidden="false" customHeight="false" outlineLevel="0" collapsed="false">
      <c r="A105" s="32" t="n">
        <v>43292.797521412</v>
      </c>
      <c r="B105" s="34" t="s">
        <v>1377</v>
      </c>
      <c r="C105" s="43" t="s">
        <v>1378</v>
      </c>
      <c r="D105" s="0" t="str">
        <f aca="false">IFERROR(__xludf.dummyfunction("SPLIT(B105,"" "")"),"Калиниченко")</f>
        <v>Калиниченко</v>
      </c>
      <c r="E105" s="0" t="str">
        <f aca="false">IFERROR(__xludf.dummyfunction("""COMPUTED_VALUE"""),"Арсений")</f>
        <v>Арсений</v>
      </c>
    </row>
    <row r="106" customFormat="false" ht="15.75" hidden="false" customHeight="false" outlineLevel="0" collapsed="false">
      <c r="A106" s="32" t="n">
        <v>43292.8021752083</v>
      </c>
      <c r="B106" s="34" t="s">
        <v>1379</v>
      </c>
      <c r="C106" s="34" t="s">
        <v>1256</v>
      </c>
      <c r="D106" s="0" t="str">
        <f aca="false">IFERROR(__xludf.dummyfunction("SPLIT(B106,"" "")"),"Деркач")</f>
        <v>Деркач</v>
      </c>
      <c r="E106" s="0" t="str">
        <f aca="false">IFERROR(__xludf.dummyfunction("""COMPUTED_VALUE"""),"Александра")</f>
        <v>Александра</v>
      </c>
    </row>
    <row r="107" customFormat="false" ht="15.75" hidden="false" customHeight="false" outlineLevel="0" collapsed="false">
      <c r="A107" s="32" t="n">
        <v>43292.8040514236</v>
      </c>
      <c r="B107" s="34" t="s">
        <v>1380</v>
      </c>
      <c r="C107" s="43" t="s">
        <v>1381</v>
      </c>
      <c r="D107" s="0" t="str">
        <f aca="false">IFERROR(__xludf.dummyfunction("SPLIT(B107,"" "")"),"Кочурова")</f>
        <v>Кочурова</v>
      </c>
      <c r="E107" s="0" t="str">
        <f aca="false">IFERROR(__xludf.dummyfunction("""COMPUTED_VALUE"""),"Лиза")</f>
        <v>Лиза</v>
      </c>
    </row>
    <row r="108" customFormat="false" ht="15.75" hidden="false" customHeight="false" outlineLevel="0" collapsed="false">
      <c r="D108" s="0" t="str">
        <f aca="false">IFERROR(__xludf.dummyfunction("SPLIT(B108,"" "")"),"#VALUE!")</f>
        <v>#VALUE!</v>
      </c>
    </row>
    <row r="109" customFormat="false" ht="15.75" hidden="false" customHeight="false" outlineLevel="0" collapsed="false">
      <c r="D109" s="0" t="str">
        <f aca="false">IFERROR(__xludf.dummyfunction("SPLIT(B109,"" "")"),"#VALUE!")</f>
        <v>#VALUE!</v>
      </c>
    </row>
    <row r="110" customFormat="false" ht="15.75" hidden="false" customHeight="false" outlineLevel="0" collapsed="false">
      <c r="D110" s="0" t="str">
        <f aca="false">IFERROR(__xludf.dummyfunction("SPLIT(B110,"" "")"),"#VALUE!")</f>
        <v>#VALUE!</v>
      </c>
    </row>
    <row r="111" customFormat="false" ht="15.75" hidden="false" customHeight="false" outlineLevel="0" collapsed="false">
      <c r="D111" s="0" t="str">
        <f aca="false">IFERROR(__xludf.dummyfunction("SPLIT(B111,"" "")"),"#VALUE!")</f>
        <v>#VALUE!</v>
      </c>
    </row>
    <row r="112" customFormat="false" ht="15.75" hidden="false" customHeight="false" outlineLevel="0" collapsed="false">
      <c r="D112" s="0" t="str">
        <f aca="false">IFERROR(__xludf.dummyfunction("SPLIT(B112,"" "")"),"#VALUE!")</f>
        <v>#VALUE!</v>
      </c>
    </row>
    <row r="113" customFormat="false" ht="15.75" hidden="false" customHeight="false" outlineLevel="0" collapsed="false">
      <c r="D113" s="0" t="str">
        <f aca="false">IFERROR(__xludf.dummyfunction("SPLIT(B113,"" "")"),"#VALUE!")</f>
        <v>#VALUE!</v>
      </c>
    </row>
    <row r="114" customFormat="false" ht="15.75" hidden="false" customHeight="false" outlineLevel="0" collapsed="false">
      <c r="D114" s="0" t="str">
        <f aca="false">IFERROR(__xludf.dummyfunction("SPLIT(B114,"" "")"),"#VALUE!")</f>
        <v>#VALUE!</v>
      </c>
    </row>
    <row r="115" customFormat="false" ht="15.75" hidden="false" customHeight="false" outlineLevel="0" collapsed="false">
      <c r="D115" s="0" t="str">
        <f aca="false">IFERROR(__xludf.dummyfunction("SPLIT(B115,"" "")"),"#VALUE!")</f>
        <v>#VALUE!</v>
      </c>
    </row>
    <row r="116" customFormat="false" ht="15.75" hidden="false" customHeight="false" outlineLevel="0" collapsed="false">
      <c r="D116" s="0" t="str">
        <f aca="false">IFERROR(__xludf.dummyfunction("SPLIT(B116,"" "")"),"#VALUE!")</f>
        <v>#VALUE!</v>
      </c>
    </row>
    <row r="117" customFormat="false" ht="15.75" hidden="false" customHeight="false" outlineLevel="0" collapsed="false">
      <c r="D117" s="0" t="str">
        <f aca="false">IFERROR(__xludf.dummyfunction("SPLIT(B117,"" "")"),"#VALUE!")</f>
        <v>#VALUE!</v>
      </c>
    </row>
    <row r="118" customFormat="false" ht="15.75" hidden="false" customHeight="false" outlineLevel="0" collapsed="false">
      <c r="D118" s="0" t="str">
        <f aca="false">IFERROR(__xludf.dummyfunction("SPLIT(B118,"" "")"),"#VALUE!")</f>
        <v>#VALUE!</v>
      </c>
    </row>
    <row r="119" customFormat="false" ht="15.75" hidden="false" customHeight="false" outlineLevel="0" collapsed="false">
      <c r="D119" s="0" t="str">
        <f aca="false">IFERROR(__xludf.dummyfunction("SPLIT(B119,"" "")"),"#VALUE!")</f>
        <v>#VALUE!</v>
      </c>
    </row>
    <row r="120" customFormat="false" ht="15.75" hidden="false" customHeight="false" outlineLevel="0" collapsed="false">
      <c r="D120" s="0" t="str">
        <f aca="false">IFERROR(__xludf.dummyfunction("SPLIT(B120,"" "")"),"#VALUE!")</f>
        <v>#VALUE!</v>
      </c>
    </row>
    <row r="121" customFormat="false" ht="15.75" hidden="false" customHeight="false" outlineLevel="0" collapsed="false">
      <c r="D121" s="0" t="str">
        <f aca="false">IFERROR(__xludf.dummyfunction("SPLIT(B121,"" "")"),"#VALUE!")</f>
        <v>#VALUE!</v>
      </c>
    </row>
    <row r="122" customFormat="false" ht="15.75" hidden="false" customHeight="false" outlineLevel="0" collapsed="false">
      <c r="D122" s="0" t="str">
        <f aca="false">IFERROR(__xludf.dummyfunction("SPLIT(B122,"" "")"),"#VALUE!")</f>
        <v>#VALUE!</v>
      </c>
    </row>
    <row r="123" customFormat="false" ht="15.75" hidden="false" customHeight="false" outlineLevel="0" collapsed="false">
      <c r="D123" s="0" t="str">
        <f aca="false">IFERROR(__xludf.dummyfunction("SPLIT(B123,"" "")"),"#VALUE!")</f>
        <v>#VALUE!</v>
      </c>
    </row>
    <row r="124" customFormat="false" ht="15.75" hidden="false" customHeight="false" outlineLevel="0" collapsed="false">
      <c r="D124" s="0" t="str">
        <f aca="false">IFERROR(__xludf.dummyfunction("SPLIT(B124,"" "")"),"#VALUE!")</f>
        <v>#VALUE!</v>
      </c>
    </row>
    <row r="125" customFormat="false" ht="15.75" hidden="false" customHeight="false" outlineLevel="0" collapsed="false">
      <c r="D125" s="0" t="str">
        <f aca="false">IFERROR(__xludf.dummyfunction("SPLIT(B125,"" "")"),"#VALUE!")</f>
        <v>#VALUE!</v>
      </c>
    </row>
    <row r="126" customFormat="false" ht="15.75" hidden="false" customHeight="false" outlineLevel="0" collapsed="false">
      <c r="D126" s="0" t="str">
        <f aca="false">IFERROR(__xludf.dummyfunction("SPLIT(B126,"" "")"),"#VALUE!")</f>
        <v>#VALUE!</v>
      </c>
    </row>
    <row r="127" customFormat="false" ht="15.75" hidden="false" customHeight="false" outlineLevel="0" collapsed="false">
      <c r="D127" s="0" t="str">
        <f aca="false">IFERROR(__xludf.dummyfunction("SPLIT(B127,"" "")"),"#VALUE!")</f>
        <v>#VALUE!</v>
      </c>
    </row>
    <row r="128" customFormat="false" ht="15.75" hidden="false" customHeight="false" outlineLevel="0" collapsed="false">
      <c r="D128" s="0" t="str">
        <f aca="false">IFERROR(__xludf.dummyfunction("SPLIT(B128,"" "")"),"#VALUE!")</f>
        <v>#VALUE!</v>
      </c>
    </row>
    <row r="129" customFormat="false" ht="15.75" hidden="false" customHeight="false" outlineLevel="0" collapsed="false">
      <c r="D129" s="0" t="str">
        <f aca="false">IFERROR(__xludf.dummyfunction("SPLIT(B129,"" "")"),"#VALUE!")</f>
        <v>#VALUE!</v>
      </c>
    </row>
    <row r="130" customFormat="false" ht="15.75" hidden="false" customHeight="false" outlineLevel="0" collapsed="false">
      <c r="D130" s="0" t="str">
        <f aca="false">IFERROR(__xludf.dummyfunction("SPLIT(B130,"" "")"),"#VALUE!")</f>
        <v>#VALUE!</v>
      </c>
    </row>
    <row r="131" customFormat="false" ht="15.75" hidden="false" customHeight="false" outlineLevel="0" collapsed="false">
      <c r="D131" s="0" t="str">
        <f aca="false">IFERROR(__xludf.dummyfunction("SPLIT(B131,"" "")"),"#VALUE!")</f>
        <v>#VALUE!</v>
      </c>
    </row>
    <row r="132" customFormat="false" ht="15.75" hidden="false" customHeight="false" outlineLevel="0" collapsed="false">
      <c r="D132" s="0" t="str">
        <f aca="false">IFERROR(__xludf.dummyfunction("SPLIT(B132,"" "")"),"#VALUE!")</f>
        <v>#VALUE!</v>
      </c>
    </row>
    <row r="133" customFormat="false" ht="15.75" hidden="false" customHeight="false" outlineLevel="0" collapsed="false">
      <c r="D133" s="0" t="str">
        <f aca="false">IFERROR(__xludf.dummyfunction("SPLIT(B133,"" "")"),"#VALUE!")</f>
        <v>#VALUE!</v>
      </c>
    </row>
    <row r="134" customFormat="false" ht="15.75" hidden="false" customHeight="false" outlineLevel="0" collapsed="false">
      <c r="D134" s="0" t="str">
        <f aca="false">IFERROR(__xludf.dummyfunction("SPLIT(B134,"" "")"),"#VALUE!")</f>
        <v>#VALUE!</v>
      </c>
    </row>
    <row r="135" customFormat="false" ht="15.75" hidden="false" customHeight="false" outlineLevel="0" collapsed="false">
      <c r="D135" s="0" t="str">
        <f aca="false">IFERROR(__xludf.dummyfunction("SPLIT(B135,"" "")"),"#VALUE!")</f>
        <v>#VALUE!</v>
      </c>
    </row>
    <row r="136" customFormat="false" ht="15.75" hidden="false" customHeight="false" outlineLevel="0" collapsed="false">
      <c r="D136" s="0" t="str">
        <f aca="false">IFERROR(__xludf.dummyfunction("SPLIT(B136,"" "")"),"#VALUE!")</f>
        <v>#VALUE!</v>
      </c>
    </row>
    <row r="137" customFormat="false" ht="15.75" hidden="false" customHeight="false" outlineLevel="0" collapsed="false">
      <c r="D137" s="0" t="str">
        <f aca="false">IFERROR(__xludf.dummyfunction("SPLIT(B137,"" "")"),"#VALUE!")</f>
        <v>#VALUE!</v>
      </c>
    </row>
    <row r="138" customFormat="false" ht="15.75" hidden="false" customHeight="false" outlineLevel="0" collapsed="false">
      <c r="D138" s="0" t="str">
        <f aca="false">IFERROR(__xludf.dummyfunction("SPLIT(B138,"" "")"),"#VALUE!")</f>
        <v>#VALUE!</v>
      </c>
    </row>
    <row r="139" customFormat="false" ht="15.75" hidden="false" customHeight="false" outlineLevel="0" collapsed="false">
      <c r="D139" s="0" t="str">
        <f aca="false">IFERROR(__xludf.dummyfunction("SPLIT(B139,"" "")"),"#VALUE!")</f>
        <v>#VALUE!</v>
      </c>
    </row>
    <row r="140" customFormat="false" ht="15.75" hidden="false" customHeight="false" outlineLevel="0" collapsed="false">
      <c r="D140" s="0" t="str">
        <f aca="false">IFERROR(__xludf.dummyfunction("SPLIT(B140,"" "")"),"#VALUE!")</f>
        <v>#VALUE!</v>
      </c>
    </row>
    <row r="141" customFormat="false" ht="15.75" hidden="false" customHeight="false" outlineLevel="0" collapsed="false">
      <c r="D141" s="0" t="str">
        <f aca="false">IFERROR(__xludf.dummyfunction("SPLIT(B141,"" "")"),"#VALUE!")</f>
        <v>#VALUE!</v>
      </c>
    </row>
    <row r="142" customFormat="false" ht="15.75" hidden="false" customHeight="false" outlineLevel="0" collapsed="false">
      <c r="D142" s="0" t="str">
        <f aca="false">IFERROR(__xludf.dummyfunction("SPLIT(B142,"" "")"),"#VALUE!")</f>
        <v>#VALUE!</v>
      </c>
    </row>
    <row r="143" customFormat="false" ht="15.75" hidden="false" customHeight="false" outlineLevel="0" collapsed="false">
      <c r="D143" s="0" t="str">
        <f aca="false">IFERROR(__xludf.dummyfunction("SPLIT(B143,"" "")"),"#VALUE!")</f>
        <v>#VALUE!</v>
      </c>
    </row>
    <row r="144" customFormat="false" ht="15.75" hidden="false" customHeight="false" outlineLevel="0" collapsed="false">
      <c r="D144" s="0" t="str">
        <f aca="false">IFERROR(__xludf.dummyfunction("SPLIT(B144,"" "")"),"#VALUE!")</f>
        <v>#VALUE!</v>
      </c>
    </row>
    <row r="145" customFormat="false" ht="15.75" hidden="false" customHeight="false" outlineLevel="0" collapsed="false">
      <c r="D145" s="0" t="str">
        <f aca="false">IFERROR(__xludf.dummyfunction("SPLIT(B145,"" "")"),"#VALUE!")</f>
        <v>#VALUE!</v>
      </c>
    </row>
    <row r="146" customFormat="false" ht="15.75" hidden="false" customHeight="false" outlineLevel="0" collapsed="false">
      <c r="D146" s="0" t="str">
        <f aca="false">IFERROR(__xludf.dummyfunction("SPLIT(B146,"" "")"),"#VALUE!")</f>
        <v>#VALUE!</v>
      </c>
    </row>
    <row r="147" customFormat="false" ht="15.75" hidden="false" customHeight="false" outlineLevel="0" collapsed="false">
      <c r="D147" s="0" t="str">
        <f aca="false">IFERROR(__xludf.dummyfunction("SPLIT(B147,"" "")"),"#VALUE!")</f>
        <v>#VALUE!</v>
      </c>
    </row>
    <row r="148" customFormat="false" ht="15.75" hidden="false" customHeight="false" outlineLevel="0" collapsed="false">
      <c r="D148" s="0" t="str">
        <f aca="false">IFERROR(__xludf.dummyfunction("SPLIT(B148,"" "")"),"#VALUE!")</f>
        <v>#VALUE!</v>
      </c>
    </row>
    <row r="149" customFormat="false" ht="15.75" hidden="false" customHeight="false" outlineLevel="0" collapsed="false">
      <c r="D149" s="0" t="str">
        <f aca="false">IFERROR(__xludf.dummyfunction("SPLIT(B149,"" "")"),"#VALUE!")</f>
        <v>#VALUE!</v>
      </c>
    </row>
    <row r="150" customFormat="false" ht="15.75" hidden="false" customHeight="false" outlineLevel="0" collapsed="false">
      <c r="D150" s="0" t="str">
        <f aca="false">IFERROR(__xludf.dummyfunction("SPLIT(B150,"" "")"),"#VALUE!")</f>
        <v>#VALUE!</v>
      </c>
    </row>
    <row r="151" customFormat="false" ht="15.75" hidden="false" customHeight="false" outlineLevel="0" collapsed="false">
      <c r="D151" s="0" t="str">
        <f aca="false">IFERROR(__xludf.dummyfunction("SPLIT(B151,"" "")"),"#VALUE!")</f>
        <v>#VALUE!</v>
      </c>
    </row>
    <row r="152" customFormat="false" ht="15.75" hidden="false" customHeight="false" outlineLevel="0" collapsed="false">
      <c r="D152" s="0" t="str">
        <f aca="false">IFERROR(__xludf.dummyfunction("SPLIT(B152,"" "")"),"#VALUE!")</f>
        <v>#VALUE!</v>
      </c>
    </row>
    <row r="153" customFormat="false" ht="15.75" hidden="false" customHeight="false" outlineLevel="0" collapsed="false">
      <c r="D153" s="0" t="str">
        <f aca="false">IFERROR(__xludf.dummyfunction("SPLIT(B153,"" "")"),"#VALUE!")</f>
        <v>#VALUE!</v>
      </c>
    </row>
    <row r="154" customFormat="false" ht="15.75" hidden="false" customHeight="false" outlineLevel="0" collapsed="false">
      <c r="D154" s="0" t="str">
        <f aca="false">IFERROR(__xludf.dummyfunction("SPLIT(B154,"" "")"),"#VALUE!")</f>
        <v>#VALUE!</v>
      </c>
    </row>
    <row r="155" customFormat="false" ht="15.75" hidden="false" customHeight="false" outlineLevel="0" collapsed="false">
      <c r="D155" s="0" t="str">
        <f aca="false">IFERROR(__xludf.dummyfunction("SPLIT(B155,"" "")"),"#VALUE!")</f>
        <v>#VALUE!</v>
      </c>
    </row>
    <row r="156" customFormat="false" ht="15.75" hidden="false" customHeight="false" outlineLevel="0" collapsed="false">
      <c r="D156" s="0" t="str">
        <f aca="false">IFERROR(__xludf.dummyfunction("SPLIT(B156,"" "")"),"#VALUE!")</f>
        <v>#VALUE!</v>
      </c>
    </row>
    <row r="157" customFormat="false" ht="15.75" hidden="false" customHeight="false" outlineLevel="0" collapsed="false">
      <c r="D157" s="0" t="str">
        <f aca="false">IFERROR(__xludf.dummyfunction("SPLIT(B157,"" "")"),"#VALUE!")</f>
        <v>#VALUE!</v>
      </c>
    </row>
    <row r="158" customFormat="false" ht="15.75" hidden="false" customHeight="false" outlineLevel="0" collapsed="false">
      <c r="D158" s="0" t="str">
        <f aca="false">IFERROR(__xludf.dummyfunction("SPLIT(B158,"" "")"),"#VALUE!")</f>
        <v>#VALUE!</v>
      </c>
    </row>
    <row r="159" customFormat="false" ht="15.75" hidden="false" customHeight="false" outlineLevel="0" collapsed="false">
      <c r="D159" s="0" t="str">
        <f aca="false">IFERROR(__xludf.dummyfunction("SPLIT(B159,"" "")"),"#VALUE!")</f>
        <v>#VALUE!</v>
      </c>
    </row>
    <row r="160" customFormat="false" ht="15.75" hidden="false" customHeight="false" outlineLevel="0" collapsed="false">
      <c r="D160" s="0" t="str">
        <f aca="false">IFERROR(__xludf.dummyfunction("SPLIT(B160,"" "")"),"#VALUE!")</f>
        <v>#VALUE!</v>
      </c>
    </row>
    <row r="161" customFormat="false" ht="15.75" hidden="false" customHeight="false" outlineLevel="0" collapsed="false">
      <c r="D161" s="0" t="str">
        <f aca="false">IFERROR(__xludf.dummyfunction("SPLIT(B161,"" "")"),"#VALUE!")</f>
        <v>#VALUE!</v>
      </c>
    </row>
    <row r="162" customFormat="false" ht="15.75" hidden="false" customHeight="false" outlineLevel="0" collapsed="false">
      <c r="D162" s="0" t="str">
        <f aca="false">IFERROR(__xludf.dummyfunction("SPLIT(B162,"" "")"),"#VALUE!")</f>
        <v>#VALUE!</v>
      </c>
    </row>
    <row r="163" customFormat="false" ht="15.75" hidden="false" customHeight="false" outlineLevel="0" collapsed="false">
      <c r="D163" s="0" t="str">
        <f aca="false">IFERROR(__xludf.dummyfunction("SPLIT(B163,"" "")"),"#VALUE!")</f>
        <v>#VALUE!</v>
      </c>
    </row>
    <row r="164" customFormat="false" ht="15.75" hidden="false" customHeight="false" outlineLevel="0" collapsed="false">
      <c r="D164" s="0" t="str">
        <f aca="false">IFERROR(__xludf.dummyfunction("SPLIT(B164,"" "")"),"#VALUE!")</f>
        <v>#VALUE!</v>
      </c>
    </row>
    <row r="165" customFormat="false" ht="15.75" hidden="false" customHeight="false" outlineLevel="0" collapsed="false">
      <c r="D165" s="0" t="str">
        <f aca="false">IFERROR(__xludf.dummyfunction("SPLIT(B165,"" "")"),"#VALUE!")</f>
        <v>#VALUE!</v>
      </c>
    </row>
    <row r="166" customFormat="false" ht="15.75" hidden="false" customHeight="false" outlineLevel="0" collapsed="false">
      <c r="D166" s="0" t="str">
        <f aca="false">IFERROR(__xludf.dummyfunction("SPLIT(B166,"" "")"),"#VALUE!")</f>
        <v>#VALUE!</v>
      </c>
    </row>
    <row r="167" customFormat="false" ht="15.75" hidden="false" customHeight="false" outlineLevel="0" collapsed="false">
      <c r="D167" s="0" t="str">
        <f aca="false">IFERROR(__xludf.dummyfunction("SPLIT(B167,"" "")"),"#VALUE!")</f>
        <v>#VALUE!</v>
      </c>
    </row>
    <row r="168" customFormat="false" ht="15.75" hidden="false" customHeight="false" outlineLevel="0" collapsed="false">
      <c r="D168" s="0" t="str">
        <f aca="false">IFERROR(__xludf.dummyfunction("SPLIT(B168,"" "")"),"#VALUE!")</f>
        <v>#VALUE!</v>
      </c>
    </row>
    <row r="169" customFormat="false" ht="15.75" hidden="false" customHeight="false" outlineLevel="0" collapsed="false">
      <c r="D169" s="0" t="str">
        <f aca="false">IFERROR(__xludf.dummyfunction("SPLIT(B169,"" "")"),"#VALUE!")</f>
        <v>#VALUE!</v>
      </c>
    </row>
    <row r="170" customFormat="false" ht="15.75" hidden="false" customHeight="false" outlineLevel="0" collapsed="false">
      <c r="D170" s="0" t="str">
        <f aca="false">IFERROR(__xludf.dummyfunction("SPLIT(B170,"" "")"),"#VALUE!")</f>
        <v>#VALUE!</v>
      </c>
    </row>
    <row r="171" customFormat="false" ht="15.75" hidden="false" customHeight="false" outlineLevel="0" collapsed="false">
      <c r="D171" s="0" t="str">
        <f aca="false">IFERROR(__xludf.dummyfunction("SPLIT(B171,"" "")"),"#VALUE!")</f>
        <v>#VALUE!</v>
      </c>
    </row>
    <row r="172" customFormat="false" ht="15.75" hidden="false" customHeight="false" outlineLevel="0" collapsed="false">
      <c r="D172" s="0" t="str">
        <f aca="false">IFERROR(__xludf.dummyfunction("SPLIT(B172,"" "")"),"#VALUE!")</f>
        <v>#VALUE!</v>
      </c>
    </row>
    <row r="173" customFormat="false" ht="15.75" hidden="false" customHeight="false" outlineLevel="0" collapsed="false">
      <c r="D173" s="0" t="str">
        <f aca="false">IFERROR(__xludf.dummyfunction("SPLIT(B173,"" "")"),"#VALUE!")</f>
        <v>#VALUE!</v>
      </c>
    </row>
    <row r="174" customFormat="false" ht="15.75" hidden="false" customHeight="false" outlineLevel="0" collapsed="false">
      <c r="D174" s="0" t="str">
        <f aca="false">IFERROR(__xludf.dummyfunction("SPLIT(B174,"" "")"),"#VALUE!")</f>
        <v>#VALUE!</v>
      </c>
    </row>
    <row r="175" customFormat="false" ht="15.75" hidden="false" customHeight="false" outlineLevel="0" collapsed="false">
      <c r="D175" s="0" t="str">
        <f aca="false">IFERROR(__xludf.dummyfunction("SPLIT(B175,"" "")"),"#VALUE!")</f>
        <v>#VALUE!</v>
      </c>
    </row>
    <row r="176" customFormat="false" ht="15.75" hidden="false" customHeight="false" outlineLevel="0" collapsed="false">
      <c r="D176" s="0" t="str">
        <f aca="false">IFERROR(__xludf.dummyfunction("SPLIT(B176,"" "")"),"#VALUE!")</f>
        <v>#VALUE!</v>
      </c>
    </row>
    <row r="177" customFormat="false" ht="15.75" hidden="false" customHeight="false" outlineLevel="0" collapsed="false">
      <c r="D177" s="0" t="str">
        <f aca="false">IFERROR(__xludf.dummyfunction("SPLIT(B177,"" "")"),"#VALUE!")</f>
        <v>#VALUE!</v>
      </c>
    </row>
    <row r="178" customFormat="false" ht="15.75" hidden="false" customHeight="false" outlineLevel="0" collapsed="false">
      <c r="D178" s="0" t="str">
        <f aca="false">IFERROR(__xludf.dummyfunction("SPLIT(B178,"" "")"),"#VALUE!")</f>
        <v>#VALUE!</v>
      </c>
    </row>
    <row r="179" customFormat="false" ht="15.75" hidden="false" customHeight="false" outlineLevel="0" collapsed="false">
      <c r="D179" s="0" t="str">
        <f aca="false">IFERROR(__xludf.dummyfunction("SPLIT(B179,"" "")"),"#VALUE!")</f>
        <v>#VALUE!</v>
      </c>
    </row>
    <row r="180" customFormat="false" ht="15.75" hidden="false" customHeight="false" outlineLevel="0" collapsed="false">
      <c r="D180" s="0" t="str">
        <f aca="false">IFERROR(__xludf.dummyfunction("SPLIT(B180,"" "")"),"#VALUE!")</f>
        <v>#VALUE!</v>
      </c>
    </row>
    <row r="181" customFormat="false" ht="15.75" hidden="false" customHeight="false" outlineLevel="0" collapsed="false">
      <c r="D181" s="0" t="str">
        <f aca="false">IFERROR(__xludf.dummyfunction("SPLIT(B181,"" "")"),"#VALUE!")</f>
        <v>#VALUE!</v>
      </c>
    </row>
    <row r="182" customFormat="false" ht="15.75" hidden="false" customHeight="false" outlineLevel="0" collapsed="false">
      <c r="D182" s="0" t="str">
        <f aca="false">IFERROR(__xludf.dummyfunction("SPLIT(B182,"" "")"),"#VALUE!")</f>
        <v>#VALUE!</v>
      </c>
    </row>
    <row r="183" customFormat="false" ht="15.75" hidden="false" customHeight="false" outlineLevel="0" collapsed="false">
      <c r="D183" s="0" t="str">
        <f aca="false">IFERROR(__xludf.dummyfunction("SPLIT(B183,"" "")"),"#VALUE!")</f>
        <v>#VALUE!</v>
      </c>
    </row>
    <row r="184" customFormat="false" ht="15.75" hidden="false" customHeight="false" outlineLevel="0" collapsed="false">
      <c r="D184" s="0" t="str">
        <f aca="false">IFERROR(__xludf.dummyfunction("SPLIT(B184,"" "")"),"#VALUE!")</f>
        <v>#VALUE!</v>
      </c>
    </row>
    <row r="185" customFormat="false" ht="15.75" hidden="false" customHeight="false" outlineLevel="0" collapsed="false">
      <c r="D185" s="0" t="str">
        <f aca="false">IFERROR(__xludf.dummyfunction("SPLIT(B185,"" "")"),"#VALUE!")</f>
        <v>#VALUE!</v>
      </c>
    </row>
    <row r="186" customFormat="false" ht="15.75" hidden="false" customHeight="false" outlineLevel="0" collapsed="false">
      <c r="D186" s="0" t="str">
        <f aca="false">IFERROR(__xludf.dummyfunction("SPLIT(B186,"" "")"),"#VALUE!")</f>
        <v>#VALUE!</v>
      </c>
    </row>
    <row r="187" customFormat="false" ht="15.75" hidden="false" customHeight="false" outlineLevel="0" collapsed="false">
      <c r="D187" s="0" t="str">
        <f aca="false">IFERROR(__xludf.dummyfunction("SPLIT(B187,"" "")"),"#VALUE!")</f>
        <v>#VALUE!</v>
      </c>
    </row>
    <row r="188" customFormat="false" ht="15.75" hidden="false" customHeight="false" outlineLevel="0" collapsed="false">
      <c r="D188" s="0" t="str">
        <f aca="false">IFERROR(__xludf.dummyfunction("SPLIT(B188,"" "")"),"#VALUE!")</f>
        <v>#VALUE!</v>
      </c>
    </row>
    <row r="189" customFormat="false" ht="15.75" hidden="false" customHeight="false" outlineLevel="0" collapsed="false">
      <c r="D189" s="0" t="str">
        <f aca="false">IFERROR(__xludf.dummyfunction("SPLIT(B189,"" "")"),"#VALUE!")</f>
        <v>#VALUE!</v>
      </c>
    </row>
    <row r="190" customFormat="false" ht="15.75" hidden="false" customHeight="false" outlineLevel="0" collapsed="false">
      <c r="D190" s="0" t="str">
        <f aca="false">IFERROR(__xludf.dummyfunction("SPLIT(B190,"" "")"),"#VALUE!")</f>
        <v>#VALUE!</v>
      </c>
    </row>
    <row r="191" customFormat="false" ht="15.75" hidden="false" customHeight="false" outlineLevel="0" collapsed="false">
      <c r="D191" s="0" t="str">
        <f aca="false">IFERROR(__xludf.dummyfunction("SPLIT(B191,"" "")"),"#VALUE!")</f>
        <v>#VALUE!</v>
      </c>
    </row>
    <row r="192" customFormat="false" ht="15.75" hidden="false" customHeight="false" outlineLevel="0" collapsed="false">
      <c r="D192" s="0" t="str">
        <f aca="false">IFERROR(__xludf.dummyfunction("SPLIT(B192,"" "")"),"#VALUE!")</f>
        <v>#VALUE!</v>
      </c>
    </row>
    <row r="193" customFormat="false" ht="15.75" hidden="false" customHeight="false" outlineLevel="0" collapsed="false">
      <c r="D193" s="0" t="str">
        <f aca="false">IFERROR(__xludf.dummyfunction("SPLIT(B193,"" "")"),"#VALUE!")</f>
        <v>#VALUE!</v>
      </c>
    </row>
    <row r="194" customFormat="false" ht="15.75" hidden="false" customHeight="false" outlineLevel="0" collapsed="false">
      <c r="D194" s="0" t="str">
        <f aca="false">IFERROR(__xludf.dummyfunction("SPLIT(B194,"" "")"),"#VALUE!")</f>
        <v>#VALUE!</v>
      </c>
    </row>
    <row r="195" customFormat="false" ht="15.75" hidden="false" customHeight="false" outlineLevel="0" collapsed="false">
      <c r="D195" s="0" t="str">
        <f aca="false">IFERROR(__xludf.dummyfunction("SPLIT(B195,"" "")"),"#VALUE!")</f>
        <v>#VALUE!</v>
      </c>
    </row>
    <row r="196" customFormat="false" ht="15.75" hidden="false" customHeight="false" outlineLevel="0" collapsed="false">
      <c r="D196" s="0" t="str">
        <f aca="false">IFERROR(__xludf.dummyfunction("SPLIT(B196,"" "")"),"#VALUE!")</f>
        <v>#VALUE!</v>
      </c>
    </row>
    <row r="197" customFormat="false" ht="15.75" hidden="false" customHeight="false" outlineLevel="0" collapsed="false">
      <c r="D197" s="0" t="str">
        <f aca="false">IFERROR(__xludf.dummyfunction("SPLIT(B197,"" "")"),"#VALUE!")</f>
        <v>#VALUE!</v>
      </c>
    </row>
    <row r="198" customFormat="false" ht="15.75" hidden="false" customHeight="false" outlineLevel="0" collapsed="false">
      <c r="D198" s="0" t="str">
        <f aca="false">IFERROR(__xludf.dummyfunction("SPLIT(B198,"" "")"),"#VALUE!")</f>
        <v>#VALUE!</v>
      </c>
    </row>
    <row r="199" customFormat="false" ht="15.75" hidden="false" customHeight="false" outlineLevel="0" collapsed="false">
      <c r="D199" s="0" t="str">
        <f aca="false">IFERROR(__xludf.dummyfunction("SPLIT(B199,"" "")"),"#VALUE!")</f>
        <v>#VALUE!</v>
      </c>
    </row>
    <row r="200" customFormat="false" ht="15.75" hidden="false" customHeight="false" outlineLevel="0" collapsed="false">
      <c r="D200" s="0" t="str">
        <f aca="false">IFERROR(__xludf.dummyfunction("SPLIT(B200,"" "")"),"#VALUE!")</f>
        <v>#VALUE!</v>
      </c>
    </row>
    <row r="201" customFormat="false" ht="15.75" hidden="false" customHeight="false" outlineLevel="0" collapsed="false">
      <c r="D201" s="0" t="str">
        <f aca="false">IFERROR(__xludf.dummyfunction("SPLIT(B201,"" "")"),"#VALUE!")</f>
        <v>#VALUE!</v>
      </c>
    </row>
    <row r="202" customFormat="false" ht="15.75" hidden="false" customHeight="false" outlineLevel="0" collapsed="false">
      <c r="D202" s="0" t="str">
        <f aca="false">IFERROR(__xludf.dummyfunction("SPLIT(B202,"" "")"),"#VALUE!")</f>
        <v>#VALUE!</v>
      </c>
    </row>
    <row r="203" customFormat="false" ht="15.75" hidden="false" customHeight="false" outlineLevel="0" collapsed="false">
      <c r="D203" s="0" t="str">
        <f aca="false">IFERROR(__xludf.dummyfunction("SPLIT(B203,"" "")"),"#VALUE!")</f>
        <v>#VALUE!</v>
      </c>
    </row>
    <row r="204" customFormat="false" ht="15.75" hidden="false" customHeight="false" outlineLevel="0" collapsed="false">
      <c r="D204" s="0" t="str">
        <f aca="false">IFERROR(__xludf.dummyfunction("SPLIT(B204,"" "")"),"#VALUE!")</f>
        <v>#VALUE!</v>
      </c>
    </row>
    <row r="205" customFormat="false" ht="15.75" hidden="false" customHeight="false" outlineLevel="0" collapsed="false">
      <c r="D205" s="0" t="str">
        <f aca="false">IFERROR(__xludf.dummyfunction("SPLIT(B205,"" "")"),"#VALUE!")</f>
        <v>#VALUE!</v>
      </c>
    </row>
    <row r="206" customFormat="false" ht="15.75" hidden="false" customHeight="false" outlineLevel="0" collapsed="false">
      <c r="D206" s="0" t="str">
        <f aca="false">IFERROR(__xludf.dummyfunction("SPLIT(B206,"" "")"),"#VALUE!")</f>
        <v>#VALUE!</v>
      </c>
    </row>
    <row r="207" customFormat="false" ht="15.75" hidden="false" customHeight="false" outlineLevel="0" collapsed="false">
      <c r="D207" s="0" t="str">
        <f aca="false">IFERROR(__xludf.dummyfunction("SPLIT(B207,"" "")"),"#VALUE!")</f>
        <v>#VALUE!</v>
      </c>
    </row>
    <row r="208" customFormat="false" ht="15.75" hidden="false" customHeight="false" outlineLevel="0" collapsed="false">
      <c r="D208" s="0" t="str">
        <f aca="false">IFERROR(__xludf.dummyfunction("SPLIT(B208,"" "")"),"#VALUE!")</f>
        <v>#VALUE!</v>
      </c>
    </row>
    <row r="209" customFormat="false" ht="15.75" hidden="false" customHeight="false" outlineLevel="0" collapsed="false">
      <c r="D209" s="0" t="str">
        <f aca="false">IFERROR(__xludf.dummyfunction("SPLIT(B209,"" "")"),"#VALUE!")</f>
        <v>#VALUE!</v>
      </c>
    </row>
    <row r="210" customFormat="false" ht="15.75" hidden="false" customHeight="false" outlineLevel="0" collapsed="false">
      <c r="D210" s="0" t="str">
        <f aca="false">IFERROR(__xludf.dummyfunction("SPLIT(B210,"" "")"),"#VALUE!")</f>
        <v>#VALUE!</v>
      </c>
    </row>
    <row r="211" customFormat="false" ht="15.75" hidden="false" customHeight="false" outlineLevel="0" collapsed="false">
      <c r="D211" s="0" t="str">
        <f aca="false">IFERROR(__xludf.dummyfunction("SPLIT(B211,"" "")"),"#VALUE!")</f>
        <v>#VALUE!</v>
      </c>
    </row>
    <row r="212" customFormat="false" ht="15.75" hidden="false" customHeight="false" outlineLevel="0" collapsed="false">
      <c r="D212" s="0" t="str">
        <f aca="false">IFERROR(__xludf.dummyfunction("SPLIT(B212,"" "")"),"#VALUE!")</f>
        <v>#VALUE!</v>
      </c>
    </row>
    <row r="213" customFormat="false" ht="15.75" hidden="false" customHeight="false" outlineLevel="0" collapsed="false">
      <c r="D213" s="0" t="str">
        <f aca="false">IFERROR(__xludf.dummyfunction("SPLIT(B213,"" "")"),"#VALUE!")</f>
        <v>#VALUE!</v>
      </c>
    </row>
    <row r="214" customFormat="false" ht="15.75" hidden="false" customHeight="false" outlineLevel="0" collapsed="false">
      <c r="D214" s="0" t="str">
        <f aca="false">IFERROR(__xludf.dummyfunction("SPLIT(B214,"" "")"),"#VALUE!")</f>
        <v>#VALUE!</v>
      </c>
    </row>
    <row r="215" customFormat="false" ht="15.75" hidden="false" customHeight="false" outlineLevel="0" collapsed="false">
      <c r="D215" s="0" t="str">
        <f aca="false">IFERROR(__xludf.dummyfunction("SPLIT(B215,"" "")"),"#VALUE!")</f>
        <v>#VALUE!</v>
      </c>
    </row>
    <row r="216" customFormat="false" ht="15.75" hidden="false" customHeight="false" outlineLevel="0" collapsed="false">
      <c r="D216" s="0" t="str">
        <f aca="false">IFERROR(__xludf.dummyfunction("SPLIT(B216,"" "")"),"#VALUE!")</f>
        <v>#VALUE!</v>
      </c>
    </row>
    <row r="217" customFormat="false" ht="15.75" hidden="false" customHeight="false" outlineLevel="0" collapsed="false">
      <c r="D217" s="0" t="str">
        <f aca="false">IFERROR(__xludf.dummyfunction("SPLIT(B217,"" "")"),"#VALUE!")</f>
        <v>#VALUE!</v>
      </c>
    </row>
    <row r="218" customFormat="false" ht="15.75" hidden="false" customHeight="false" outlineLevel="0" collapsed="false">
      <c r="D218" s="0" t="str">
        <f aca="false">IFERROR(__xludf.dummyfunction("SPLIT(B218,"" "")"),"#VALUE!")</f>
        <v>#VALUE!</v>
      </c>
    </row>
    <row r="219" customFormat="false" ht="15.75" hidden="false" customHeight="false" outlineLevel="0" collapsed="false">
      <c r="D219" s="0" t="str">
        <f aca="false">IFERROR(__xludf.dummyfunction("SPLIT(B219,"" "")"),"#VALUE!")</f>
        <v>#VALUE!</v>
      </c>
    </row>
    <row r="220" customFormat="false" ht="15.75" hidden="false" customHeight="false" outlineLevel="0" collapsed="false">
      <c r="D220" s="0" t="str">
        <f aca="false">IFERROR(__xludf.dummyfunction("SPLIT(B220,"" "")"),"#VALUE!")</f>
        <v>#VALUE!</v>
      </c>
    </row>
    <row r="221" customFormat="false" ht="15.75" hidden="false" customHeight="false" outlineLevel="0" collapsed="false">
      <c r="D221" s="0" t="str">
        <f aca="false">IFERROR(__xludf.dummyfunction("SPLIT(B221,"" "")"),"#VALUE!")</f>
        <v>#VALUE!</v>
      </c>
    </row>
    <row r="222" customFormat="false" ht="15.75" hidden="false" customHeight="false" outlineLevel="0" collapsed="false">
      <c r="D222" s="0" t="str">
        <f aca="false">IFERROR(__xludf.dummyfunction("SPLIT(B222,"" "")"),"#VALUE!")</f>
        <v>#VALUE!</v>
      </c>
    </row>
    <row r="223" customFormat="false" ht="15.75" hidden="false" customHeight="false" outlineLevel="0" collapsed="false">
      <c r="D223" s="0" t="str">
        <f aca="false">IFERROR(__xludf.dummyfunction("SPLIT(B223,"" "")"),"#VALUE!")</f>
        <v>#VALUE!</v>
      </c>
    </row>
    <row r="224" customFormat="false" ht="15.75" hidden="false" customHeight="false" outlineLevel="0" collapsed="false">
      <c r="D224" s="0" t="str">
        <f aca="false">IFERROR(__xludf.dummyfunction("SPLIT(B224,"" "")"),"#VALUE!")</f>
        <v>#VALUE!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29.71"/>
    <col collapsed="false" customWidth="true" hidden="false" outlineLevel="0" max="13" min="13" style="0" width="24.29"/>
    <col collapsed="false" customWidth="true" hidden="false" outlineLevel="0" max="16" min="16" style="0" width="19.99"/>
  </cols>
  <sheetData>
    <row r="1" customFormat="false" ht="15.75" hidden="false" customHeight="false" outlineLevel="0" collapsed="false">
      <c r="A1" s="11" t="n">
        <f aca="false">IFERROR(__xludf.dummyfunction("FILTER('Кино'!A1:E200,ARRAYFORMULA((iferror(VLOOKUP('Кино'!D1:D200,ARRAYFORMULA(TRIM('Переформатированный ответ'!B169:B195)),1,FALSE),""fuck"")='Кино'!D1:D200)+(iferror(VLOOKUP('Кино'!E1:E200,ARRAYFORMULA(TRIM('Переформатированный ответ'!B169:B195)),1,FAL"&amp;"SE),""fuck"")='Кино'!E1:E200)&gt;0))"),43291.9449402662)</f>
        <v>43291.94494</v>
      </c>
      <c r="B1" s="0" t="str">
        <f aca="false">IFERROR(__xludf.dummyfunction("""COMPUTED_VALUE"""),"Корнев Егор")</f>
        <v>Корнев Егор</v>
      </c>
      <c r="C1" s="0" t="str">
        <f aca="false">IFERROR(__xludf.dummyfunction("""COMPUTED_VALUE"""),"Доктор Стрейнджлав, или Как я научился не волноваться и полюбил атомную бомбу, Дурак, Девять, Странники")</f>
        <v>Доктор Стрейнджлав, или Как я научился не волноваться и полюбил атомную бомбу, Дурак, Девять, Странники</v>
      </c>
      <c r="D1" s="0" t="str">
        <f aca="false">IFERROR(__xludf.dummyfunction("""COMPUTED_VALUE"""),"Корнев")</f>
        <v>Корнев</v>
      </c>
      <c r="E1" s="0" t="str">
        <f aca="false">IFERROR(__xludf.dummyfunction("""COMPUTED_VALUE"""),"Егор")</f>
        <v>Егор</v>
      </c>
      <c r="J1" s="44"/>
      <c r="M1" s="44" t="str">
        <f aca="false">IFERROR(__xludf.dummyfunction("filter($A$1:$C$200,ARRAYFORMULA(COUNTIF($D$1:$D$200,$D$1:$D$200)&gt;1))"),"#N/A")</f>
        <v>#N/A</v>
      </c>
    </row>
    <row r="2" customFormat="false" ht="15.75" hidden="false" customHeight="false" outlineLevel="0" collapsed="false">
      <c r="A2" s="11" t="n">
        <f aca="false">IFERROR(__xludf.dummyfunction("""COMPUTED_VALUE"""),43291.9814537384)</f>
        <v>43291.98145</v>
      </c>
      <c r="B2" s="0" t="str">
        <f aca="false">IFERROR(__xludf.dummyfunction("""COMPUTED_VALUE"""),"Белим Екатерина ")</f>
        <v>Белим Екатерина</v>
      </c>
      <c r="C2" s="0" t="str">
        <f aca="false">IFERROR(__xludf.dummyfunction("""COMPUTED_VALUE"""),"Дурак, Одержимость, Реальные упыри, Курьер")</f>
        <v>Дурак, Одержимость, Реальные упыри, Курьер</v>
      </c>
      <c r="D2" s="0" t="str">
        <f aca="false">IFERROR(__xludf.dummyfunction("""COMPUTED_VALUE"""),"Белим")</f>
        <v>Белим</v>
      </c>
      <c r="E2" s="0" t="str">
        <f aca="false">IFERROR(__xludf.dummyfunction("""COMPUTED_VALUE"""),"Екатерина")</f>
        <v>Екатерина</v>
      </c>
    </row>
    <row r="3" customFormat="false" ht="15.75" hidden="false" customHeight="false" outlineLevel="0" collapsed="false">
      <c r="A3" s="11" t="n">
        <f aca="false">IFERROR(__xludf.dummyfunction("""COMPUTED_VALUE"""),43292.3124560301)</f>
        <v>43292.31246</v>
      </c>
      <c r="B3" s="0" t="str">
        <f aca="false">IFERROR(__xludf.dummyfunction("""COMPUTED_VALUE"""),"Никифоров Лука")</f>
        <v>Никифоров Лука</v>
      </c>
      <c r="C3" s="0" t="str">
        <f aca="false">IFERROR(__xludf.dummyfunction("""COMPUTED_VALUE"""),"Последний самурай, Гаттака, Девять, Одержимость")</f>
        <v>Последний самурай, Гаттака, Девять, Одержимость</v>
      </c>
      <c r="D3" s="0" t="str">
        <f aca="false">IFERROR(__xludf.dummyfunction("""COMPUTED_VALUE"""),"Никифоров")</f>
        <v>Никифоров</v>
      </c>
      <c r="E3" s="0" t="str">
        <f aca="false">IFERROR(__xludf.dummyfunction("""COMPUTED_VALUE"""),"Лука")</f>
        <v>Лука</v>
      </c>
    </row>
    <row r="5" customFormat="false" ht="15.75" hidden="false" customHeight="false" outlineLevel="0" collapsed="false">
      <c r="G5" s="1" t="s">
        <v>1288</v>
      </c>
      <c r="H5" s="44" t="e">
        <f aca="false" t="array" ref="H5:H5">COUNTA(IFERROR(SEARCH(G5,$C$1:$C$200)))</f>
        <v>#VALUE!</v>
      </c>
    </row>
    <row r="6" customFormat="false" ht="15.75" hidden="false" customHeight="false" outlineLevel="0" collapsed="false">
      <c r="G6" s="1" t="s">
        <v>1382</v>
      </c>
      <c r="H6" s="44" t="e">
        <f aca="false" t="array" ref="H6:H6">COUNTA(IFERROR(SEARCH(G6,$C$1:$C$200)))</f>
        <v>#VALUE!</v>
      </c>
    </row>
    <row r="7" customFormat="false" ht="15.75" hidden="false" customHeight="false" outlineLevel="0" collapsed="false">
      <c r="G7" s="1" t="s">
        <v>1328</v>
      </c>
      <c r="H7" s="44" t="e">
        <f aca="false" t="array" ref="H7:H7">COUNTA(IFERROR(SEARCH(G7,$C$1:$C$200)))</f>
        <v>#VALUE!</v>
      </c>
    </row>
    <row r="8" customFormat="false" ht="15.75" hidden="false" customHeight="false" outlineLevel="0" collapsed="false">
      <c r="G8" s="1" t="s">
        <v>1290</v>
      </c>
      <c r="H8" s="44" t="e">
        <f aca="false" t="array" ref="H8:H8">COUNTA(IFERROR(SEARCH(G8,$C$1:$C$200)))</f>
        <v>#VALUE!</v>
      </c>
    </row>
    <row r="9" customFormat="false" ht="15.75" hidden="false" customHeight="false" outlineLevel="0" collapsed="false">
      <c r="G9" s="1" t="s">
        <v>1383</v>
      </c>
      <c r="H9" s="44" t="e">
        <f aca="false" t="array" ref="H9:H9">COUNTA(IFERROR(SEARCH(G9,$C$1:$C$200)))</f>
        <v>#VALUE!</v>
      </c>
    </row>
    <row r="10" customFormat="false" ht="15.75" hidden="false" customHeight="false" outlineLevel="0" collapsed="false">
      <c r="G10" s="1" t="s">
        <v>1384</v>
      </c>
      <c r="H10" s="44" t="e">
        <f aca="false" t="array" ref="H10:H10">COUNTA(IFERROR(SEARCH(G10,$C$1:$C$200)))</f>
        <v>#VALUE!</v>
      </c>
    </row>
    <row r="11" customFormat="false" ht="15.75" hidden="false" customHeight="false" outlineLevel="0" collapsed="false">
      <c r="G11" s="1" t="s">
        <v>1385</v>
      </c>
      <c r="H11" s="44" t="e">
        <f aca="false" t="array" ref="H11:H11">COUNTA(IFERROR(SEARCH(G11,$C$1:$C$200)))</f>
        <v>#VALUE!</v>
      </c>
    </row>
    <row r="12" customFormat="false" ht="15.75" hidden="false" customHeight="false" outlineLevel="0" collapsed="false">
      <c r="G12" s="1" t="s">
        <v>1341</v>
      </c>
      <c r="H12" s="44" t="e">
        <f aca="false" t="array" ref="H12:H12">COUNTA(IFERROR(SEARCH(G12,$C$1:$C$200)))</f>
        <v>#VALUE!</v>
      </c>
    </row>
    <row r="13" customFormat="false" ht="15.75" hidden="false" customHeight="false" outlineLevel="0" collapsed="false">
      <c r="G13" s="1" t="s">
        <v>1386</v>
      </c>
      <c r="H13" s="44" t="e">
        <f aca="false" t="array" ref="H13:H13">COUNTA(IFERROR(SEARCH(G13,$C$1:$C$200)))</f>
        <v>#VALUE!</v>
      </c>
    </row>
    <row r="14" customFormat="false" ht="15.75" hidden="false" customHeight="false" outlineLevel="0" collapsed="false">
      <c r="G14" s="1" t="s">
        <v>1387</v>
      </c>
      <c r="H14" s="44" t="e">
        <f aca="false" t="array" ref="H14:H14">COUNTA(IFERROR(SEARCH(G14,$C$1:$C$200)))</f>
        <v>#VALUE!</v>
      </c>
    </row>
    <row r="15" customFormat="false" ht="15.75" hidden="false" customHeight="false" outlineLevel="0" collapsed="false">
      <c r="G15" s="1" t="s">
        <v>1388</v>
      </c>
      <c r="H15" s="44" t="e">
        <f aca="false" t="array" ref="H15:H15">COUNTA(IFERROR(SEARCH(G15,$C$1:$C$200)))</f>
        <v>#VALUE!</v>
      </c>
    </row>
    <row r="16" customFormat="false" ht="15.75" hidden="false" customHeight="false" outlineLevel="0" collapsed="false">
      <c r="G16" s="1" t="s">
        <v>1389</v>
      </c>
      <c r="H16" s="44" t="e">
        <f aca="false" t="array" ref="H16:H16">COUNTA(IFERROR(SEARCH(G16,$C$1:$C$200)))</f>
        <v>#VALUE!</v>
      </c>
    </row>
    <row r="17" customFormat="false" ht="15.75" hidden="false" customHeight="false" outlineLevel="0" collapsed="false">
      <c r="G17" s="1" t="s">
        <v>1390</v>
      </c>
      <c r="H17" s="44" t="e">
        <f aca="false" t="array" ref="H17:H17">COUNTA(IFERROR(SEARCH(G17,$C$1:$C$200)))</f>
        <v>#VALUE!</v>
      </c>
    </row>
    <row r="18" customFormat="false" ht="15.75" hidden="false" customHeight="false" outlineLevel="0" collapsed="false">
      <c r="G18" s="1" t="s">
        <v>1256</v>
      </c>
      <c r="H18" s="44" t="e">
        <f aca="false" t="array" ref="H18:H18">COUNTA(IFERROR(SEARCH(G18,$C$1:$C$200)))</f>
        <v>#VALUE!</v>
      </c>
    </row>
    <row r="19" customFormat="false" ht="15.75" hidden="false" customHeight="false" outlineLevel="0" collapsed="false">
      <c r="G19" s="1" t="s">
        <v>1391</v>
      </c>
      <c r="H19" s="44" t="e">
        <f aca="false" t="array" ref="H19:H19">COUNTA(IFERROR(SEARCH(G19,$C$1:$C$200)))</f>
        <v>#VALUE!</v>
      </c>
    </row>
    <row r="21" customFormat="false" ht="15.75" hidden="false" customHeight="false" outlineLevel="0" collapsed="false">
      <c r="P21" s="45" t="s">
        <v>1341</v>
      </c>
      <c r="Q21" s="46" t="e">
        <f aca="false" t="array" ref="Q21:Q21">COUNTA(IFERROR(SEARCH(P21,$C$1:$C$200)))</f>
        <v>#VALUE!</v>
      </c>
    </row>
    <row r="22" customFormat="false" ht="15.75" hidden="false" customHeight="false" outlineLevel="0" collapsed="false">
      <c r="P22" s="45" t="s">
        <v>1387</v>
      </c>
      <c r="Q22" s="46" t="e">
        <f aca="false" t="array" ref="Q22:Q22">COUNTA(IFERROR(SEARCH(P22,$C$1:$C$200)))</f>
        <v>#VALUE!</v>
      </c>
    </row>
    <row r="23" customFormat="false" ht="15.75" hidden="false" customHeight="false" outlineLevel="0" collapsed="false">
      <c r="P23" s="47" t="s">
        <v>1328</v>
      </c>
      <c r="Q23" s="48" t="e">
        <f aca="false" t="array" ref="Q23:Q23">COUNTA(IFERROR(SEARCH(P23,$C$1:$C$200)))</f>
        <v>#VALUE!</v>
      </c>
    </row>
    <row r="24" customFormat="false" ht="15.75" hidden="false" customHeight="false" outlineLevel="0" collapsed="false">
      <c r="P24" s="45" t="s">
        <v>1256</v>
      </c>
      <c r="Q24" s="46" t="e">
        <f aca="false" t="array" ref="Q24:Q24">COUNTA(IFERROR(SEARCH(P24,$C$1:$C$200)))</f>
        <v>#VALUE!</v>
      </c>
    </row>
    <row r="25" customFormat="false" ht="15.75" hidden="false" customHeight="false" outlineLevel="0" collapsed="false">
      <c r="P25" s="45" t="s">
        <v>1384</v>
      </c>
      <c r="Q25" s="46" t="e">
        <f aca="false" t="array" ref="Q25:Q25">COUNTA(IFERROR(SEARCH(P25,$C$1:$C$200)))</f>
        <v>#VALUE!</v>
      </c>
    </row>
    <row r="26" customFormat="false" ht="15.75" hidden="false" customHeight="false" outlineLevel="0" collapsed="false">
      <c r="P26" s="45" t="s">
        <v>1383</v>
      </c>
      <c r="Q26" s="46" t="e">
        <f aca="false" t="array" ref="Q26:Q26">COUNTA(IFERROR(SEARCH(P26,$C$1:$C$200)))</f>
        <v>#VALUE!</v>
      </c>
    </row>
    <row r="27" customFormat="false" ht="15.75" hidden="false" customHeight="false" outlineLevel="0" collapsed="false">
      <c r="P27" s="1" t="s">
        <v>1290</v>
      </c>
      <c r="Q27" s="44" t="e">
        <f aca="false" t="array" ref="Q27:Q27">COUNTA(IFERROR(SEARCH(P27,$C$1:$C$200)))</f>
        <v>#VALUE!</v>
      </c>
    </row>
    <row r="28" customFormat="false" ht="15.75" hidden="false" customHeight="false" outlineLevel="0" collapsed="false">
      <c r="P28" s="1" t="s">
        <v>1288</v>
      </c>
      <c r="Q28" s="44" t="e">
        <f aca="false" t="array" ref="Q28:Q28">COUNTA(IFERROR(SEARCH(P28,$C$1:$C$200)))</f>
        <v>#VALUE!</v>
      </c>
    </row>
    <row r="29" customFormat="false" ht="15.75" hidden="false" customHeight="false" outlineLevel="0" collapsed="false">
      <c r="P29" s="1" t="s">
        <v>1388</v>
      </c>
      <c r="Q29" s="44" t="e">
        <f aca="false" t="array" ref="Q29:Q29">COUNTA(IFERROR(SEARCH(P29,$C$1:$C$200)))</f>
        <v>#VALUE!</v>
      </c>
    </row>
    <row r="30" customFormat="false" ht="15.75" hidden="false" customHeight="false" outlineLevel="0" collapsed="false">
      <c r="P30" s="49" t="s">
        <v>1389</v>
      </c>
      <c r="Q30" s="50" t="e">
        <f aca="false" t="array" ref="Q30:Q30">COUNTA(IFERROR(SEARCH(P30,$C$1:$C$200)))</f>
        <v>#VALUE!</v>
      </c>
    </row>
    <row r="31" customFormat="false" ht="15.75" hidden="false" customHeight="false" outlineLevel="0" collapsed="false">
      <c r="P31" s="1" t="s">
        <v>1391</v>
      </c>
      <c r="Q31" s="44" t="e">
        <f aca="false" t="array" ref="Q31:Q31">COUNTA(IFERROR(SEARCH(P31,$C$1:$C$200)))</f>
        <v>#VALUE!</v>
      </c>
    </row>
    <row r="32" customFormat="false" ht="15.75" hidden="false" customHeight="false" outlineLevel="0" collapsed="false">
      <c r="P32" s="1" t="s">
        <v>1385</v>
      </c>
      <c r="Q32" s="44" t="e">
        <f aca="false" t="array" ref="Q32:Q32">COUNTA(IFERROR(SEARCH(P32,$C$1:$C$200)))</f>
        <v>#VALUE!</v>
      </c>
    </row>
    <row r="33" customFormat="false" ht="15.75" hidden="false" customHeight="false" outlineLevel="0" collapsed="false">
      <c r="P33" s="1" t="s">
        <v>1386</v>
      </c>
      <c r="Q33" s="44" t="e">
        <f aca="false" t="array" ref="Q33:Q33">COUNTA(IFERROR(SEARCH(P33,$C$1:$C$200)))</f>
        <v>#VALUE!</v>
      </c>
    </row>
    <row r="34" customFormat="false" ht="15.75" hidden="false" customHeight="false" outlineLevel="0" collapsed="false">
      <c r="P34" s="1" t="s">
        <v>1382</v>
      </c>
      <c r="Q34" s="44" t="e">
        <f aca="false" t="array" ref="Q34:Q34">COUNTA(IFERROR(SEARCH(P34,$C$1:$C$200)))</f>
        <v>#VALUE!</v>
      </c>
    </row>
    <row r="35" customFormat="false" ht="15.75" hidden="false" customHeight="false" outlineLevel="0" collapsed="false">
      <c r="P35" s="1" t="s">
        <v>1390</v>
      </c>
      <c r="Q35" s="44" t="e">
        <f aca="false" t="array" ref="Q35:Q35">COUNTA(IFERROR(SEARCH(P35,$C$1:$C$200)))</f>
        <v>#VALUE!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2021-08-23T13:13:10Z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