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635"/>
  </bookViews>
  <sheets>
    <sheet name="Формулы" sheetId="3" r:id="rId1"/>
    <sheet name="Аналитика" sheetId="4" r:id="rId2"/>
  </sheets>
  <calcPr calcId="152511"/>
</workbook>
</file>

<file path=xl/calcChain.xml><?xml version="1.0" encoding="utf-8"?>
<calcChain xmlns="http://schemas.openxmlformats.org/spreadsheetml/2006/main">
  <c r="H44" i="3" l="1"/>
  <c r="G42" i="3" l="1"/>
  <c r="H50" i="3"/>
  <c r="H63" i="3"/>
  <c r="F55" i="3"/>
  <c r="F36" i="3"/>
  <c r="B78" i="3" l="1"/>
  <c r="B77" i="3"/>
  <c r="B76" i="3"/>
  <c r="B75" i="3"/>
  <c r="B74" i="3"/>
  <c r="E13" i="3" l="1"/>
  <c r="C13" i="3" s="1"/>
  <c r="E55" i="3"/>
  <c r="C55" i="3" s="1"/>
  <c r="E57" i="3"/>
  <c r="E59" i="3"/>
  <c r="C65" i="3" l="1"/>
  <c r="F67" i="3" s="1"/>
  <c r="C63" i="3"/>
  <c r="E67" i="3" s="1"/>
  <c r="F59" i="3"/>
  <c r="C59" i="3" s="1"/>
  <c r="F61" i="3" s="1"/>
  <c r="I52" i="3"/>
  <c r="E36" i="3"/>
  <c r="E31" i="3"/>
  <c r="E23" i="3"/>
  <c r="C23" i="3" s="1"/>
  <c r="I31" i="3" s="1"/>
  <c r="C36" i="3" l="1"/>
  <c r="F38" i="3" s="1"/>
  <c r="C67" i="3"/>
  <c r="F69" i="3" s="1"/>
  <c r="E17" i="3"/>
  <c r="C17" i="3" s="1"/>
  <c r="F31" i="3" s="1"/>
  <c r="G44" i="3"/>
  <c r="E21" i="3"/>
  <c r="C21" i="3" s="1"/>
  <c r="E25" i="3"/>
  <c r="C25" i="3" s="1"/>
  <c r="E27" i="3" s="1"/>
  <c r="C27" i="3" s="1"/>
  <c r="E19" i="3"/>
  <c r="C19" i="3" s="1"/>
  <c r="G31" i="3" s="1"/>
  <c r="F57" i="3"/>
  <c r="C57" i="3" s="1"/>
  <c r="E61" i="3" s="1"/>
  <c r="C61" i="3" s="1"/>
  <c r="E69" i="3" s="1"/>
  <c r="E29" i="3" l="1"/>
  <c r="C69" i="3"/>
  <c r="H31" i="3"/>
  <c r="E44" i="3"/>
  <c r="F29" i="3"/>
  <c r="F44" i="3"/>
  <c r="E73" i="3" l="1"/>
  <c r="C74" i="3" s="1"/>
  <c r="F81" i="3"/>
  <c r="C29" i="3"/>
  <c r="J31" i="3" s="1"/>
  <c r="C31" i="3" s="1"/>
  <c r="E33" i="3" s="1"/>
  <c r="C33" i="3" s="1"/>
  <c r="C44" i="3"/>
  <c r="C75" i="3" l="1"/>
  <c r="C78" i="3"/>
  <c r="C77" i="3"/>
  <c r="C76" i="3"/>
  <c r="E38" i="3"/>
  <c r="C38" i="3" s="1"/>
  <c r="E42" i="3" s="1"/>
  <c r="G50" i="3"/>
  <c r="C50" i="3" s="1"/>
  <c r="J52" i="3" s="1"/>
  <c r="F46" i="3"/>
  <c r="C46" i="3" s="1"/>
  <c r="H52" i="3" s="1"/>
  <c r="E40" i="3" l="1"/>
  <c r="C40" i="3" s="1"/>
  <c r="F52" i="3" s="1"/>
  <c r="E52" i="3"/>
  <c r="F42" i="3" l="1"/>
  <c r="C42" i="3" s="1"/>
  <c r="G52" i="3" s="1"/>
  <c r="C52" i="3" s="1"/>
  <c r="E71" i="3" l="1"/>
  <c r="C71" i="3" s="1"/>
  <c r="G73" i="3" s="1"/>
  <c r="C79" i="3" s="1"/>
  <c r="E81" i="3"/>
  <c r="C81" i="3" s="1"/>
  <c r="B83" i="3" l="1"/>
  <c r="C73" i="3"/>
</calcChain>
</file>

<file path=xl/sharedStrings.xml><?xml version="1.0" encoding="utf-8"?>
<sst xmlns="http://schemas.openxmlformats.org/spreadsheetml/2006/main" count="249" uniqueCount="155">
  <si>
    <t xml:space="preserve">Число операторов программы </t>
  </si>
  <si>
    <t>Затраты времени после внедрения</t>
  </si>
  <si>
    <t>Q</t>
  </si>
  <si>
    <t>Q = q * c * (1 + p)</t>
  </si>
  <si>
    <t xml:space="preserve">Затраты труда на подготовку описания задачи: </t>
  </si>
  <si>
    <t>То</t>
  </si>
  <si>
    <t>Затраты труда на исследование предметной области (3.3):</t>
  </si>
  <si>
    <t xml:space="preserve">чел.-ч. </t>
  </si>
  <si>
    <t>B</t>
  </si>
  <si>
    <t>Su</t>
  </si>
  <si>
    <t>k</t>
  </si>
  <si>
    <t>q</t>
  </si>
  <si>
    <t>Затраты труда на разработку алгоритма решения задачи (3.4):</t>
  </si>
  <si>
    <t xml:space="preserve">Ta = Q / (Sa * k) </t>
  </si>
  <si>
    <t>Тп = Q / (Sn * k)</t>
  </si>
  <si>
    <t xml:space="preserve">Тотл =Q / (Sотл * k) </t>
  </si>
  <si>
    <t>Затраты труда на написание программы (3.5):</t>
  </si>
  <si>
    <t>Затраты труда на отладку программы (3.6):</t>
  </si>
  <si>
    <t>Sa</t>
  </si>
  <si>
    <t>Sn</t>
  </si>
  <si>
    <t>Sотл</t>
  </si>
  <si>
    <t>Затраты труда на подготовку материалов в рукописи (3.8):</t>
  </si>
  <si>
    <t xml:space="preserve">Тдр =Q / (Sдр * k) </t>
  </si>
  <si>
    <t>Sдр</t>
  </si>
  <si>
    <t>Затраты труда на редактирование, печать и оформление документов (3.9):</t>
  </si>
  <si>
    <t>Тдо = 0,75 * Тдр</t>
  </si>
  <si>
    <t>Тдр</t>
  </si>
  <si>
    <t>Полные трудозатраты (3.1):</t>
  </si>
  <si>
    <t>Т = То + Ти + Та + Тп + Тотл + Тд</t>
  </si>
  <si>
    <t>Ти</t>
  </si>
  <si>
    <t>Та</t>
  </si>
  <si>
    <t>Тп</t>
  </si>
  <si>
    <t>Тотл</t>
  </si>
  <si>
    <t>Тд</t>
  </si>
  <si>
    <t>Затраты труда на подготовку документации по задаче (3.7):</t>
  </si>
  <si>
    <t>Тд = Тдр + Тдо</t>
  </si>
  <si>
    <t>Sмес</t>
  </si>
  <si>
    <t>руб.</t>
  </si>
  <si>
    <t>Тдо</t>
  </si>
  <si>
    <t>ч.</t>
  </si>
  <si>
    <t>Ккор</t>
  </si>
  <si>
    <t>Sч</t>
  </si>
  <si>
    <t xml:space="preserve">Зэ = Р * Фв * Цэ </t>
  </si>
  <si>
    <t>Р</t>
  </si>
  <si>
    <t>Фв</t>
  </si>
  <si>
    <t>Цэ</t>
  </si>
  <si>
    <t>Зм</t>
  </si>
  <si>
    <t>Завт</t>
  </si>
  <si>
    <t>Рг</t>
  </si>
  <si>
    <t>Зэ</t>
  </si>
  <si>
    <t>Зр</t>
  </si>
  <si>
    <t>Ти = Q * B / (Su * k)</t>
  </si>
  <si>
    <t>Т</t>
  </si>
  <si>
    <t xml:space="preserve">Зо = Sч * Ткор </t>
  </si>
  <si>
    <t>Ткор</t>
  </si>
  <si>
    <t>Зо</t>
  </si>
  <si>
    <t>Зд</t>
  </si>
  <si>
    <t>Цв</t>
  </si>
  <si>
    <t>ар</t>
  </si>
  <si>
    <t>Фвг</t>
  </si>
  <si>
    <t>Зсоц</t>
  </si>
  <si>
    <t>Цч</t>
  </si>
  <si>
    <t>Кд</t>
  </si>
  <si>
    <t xml:space="preserve">руб./год </t>
  </si>
  <si>
    <t>Рг = (Зруч – Завт) + Эг.доп</t>
  </si>
  <si>
    <t>Зруч</t>
  </si>
  <si>
    <t>Эг.доп</t>
  </si>
  <si>
    <t>Зг = Зр + Зэ</t>
  </si>
  <si>
    <t>Зр = Цв * ар * Фпп / Фвг</t>
  </si>
  <si>
    <t>Фпп</t>
  </si>
  <si>
    <t xml:space="preserve">Зэ = Р * Фпп * Цэ </t>
  </si>
  <si>
    <t>П = Рг – Зг</t>
  </si>
  <si>
    <t>Зг</t>
  </si>
  <si>
    <t>C = Зо + Зд + Зсоц + Зэ + Зм + Зр</t>
  </si>
  <si>
    <t>C</t>
  </si>
  <si>
    <t>П</t>
  </si>
  <si>
    <t>Е</t>
  </si>
  <si>
    <t>К</t>
  </si>
  <si>
    <t>Ток = Ц / П</t>
  </si>
  <si>
    <t>Ц</t>
  </si>
  <si>
    <t>года</t>
  </si>
  <si>
    <t>Исполнитель (студент), месячный оклад</t>
  </si>
  <si>
    <t>Vp.авт</t>
  </si>
  <si>
    <t>n</t>
  </si>
  <si>
    <t>руб./мес.</t>
  </si>
  <si>
    <t>Исходные данные</t>
  </si>
  <si>
    <t>ч./год</t>
  </si>
  <si>
    <t xml:space="preserve">Срок службы программы до морального старения </t>
  </si>
  <si>
    <t>Затраты времени до внедрения программы</t>
  </si>
  <si>
    <t>Vp. руч</t>
  </si>
  <si>
    <t xml:space="preserve">Зруч = Vр.руч * Цч * Кд </t>
  </si>
  <si>
    <t>Завт = Vр.авт * Цч * Кд</t>
  </si>
  <si>
    <t>Ксоц</t>
  </si>
  <si>
    <t>Зсоц = (Зо + Зд) * Ксоц</t>
  </si>
  <si>
    <t xml:space="preserve">Зр = Цв * ар * Фв / Фвг </t>
  </si>
  <si>
    <t>Условное число операторов (3.2):</t>
  </si>
  <si>
    <t>Основная заработная плата (3.11):</t>
  </si>
  <si>
    <t>1. Трудозатраты</t>
  </si>
  <si>
    <t>Трудозатраты с учетом языка программирования (3.10):</t>
  </si>
  <si>
    <t xml:space="preserve">Ткор = Т * Ккор </t>
  </si>
  <si>
    <t>2. Затраты</t>
  </si>
  <si>
    <t>Расходы на материалы и запасные части (3.15):</t>
  </si>
  <si>
    <t>Затраты на потребляемую электроэнергию (3.14):</t>
  </si>
  <si>
    <t>Дополнительная з/п. (3.12):</t>
  </si>
  <si>
    <t>Часовая тарифная ставка исполнителя (для 3.11):</t>
  </si>
  <si>
    <t>руб./час</t>
  </si>
  <si>
    <t>Vp.руч</t>
  </si>
  <si>
    <t>Зм = ∑ mi * Цi</t>
  </si>
  <si>
    <t>Затраты на ТО и ТР (3.16):</t>
  </si>
  <si>
    <t>Фонд рабочего времени при создании программного продукта  (3.17):</t>
  </si>
  <si>
    <t>Фв = 1,15 * (Тп + Тдо + Тотл) * Kкор</t>
  </si>
  <si>
    <t>Зд = Зо * k</t>
  </si>
  <si>
    <r>
      <t xml:space="preserve">К = </t>
    </r>
    <r>
      <rPr>
        <b/>
        <sz val="11"/>
        <rFont val="Calibri"/>
        <family val="2"/>
        <charset val="204"/>
        <scheme val="minor"/>
      </rPr>
      <t>C</t>
    </r>
  </si>
  <si>
    <t>Часовая тарифная ставка пользователя (для 3.22 и 3.23):</t>
  </si>
  <si>
    <t>Затраты на ручную обработку информации, руб./год (3.22):</t>
  </si>
  <si>
    <t>Затраты на автоматизированную обработку информации, руб./год; (3.23):</t>
  </si>
  <si>
    <t>Стоимостная оценка результатов применения ПП в течение года (3.21):</t>
  </si>
  <si>
    <t>Затраты на ТО и ТР (3.25):</t>
  </si>
  <si>
    <t>Затраты на потребляемую электроэнергию (3.26):</t>
  </si>
  <si>
    <t>Годовые затраты при использовании программного продукта  (3.24):</t>
  </si>
  <si>
    <t>Прибыль от использования продукта за год (3.20):</t>
  </si>
  <si>
    <t>Капитальные вложения, потребителя программного продукта (3.27):</t>
  </si>
  <si>
    <t>Чистый дисконтированный доход (ЧДД) (3.28):</t>
  </si>
  <si>
    <t>ЧДД = ∑ Пm * 1 / (1 - Е)^m - К</t>
  </si>
  <si>
    <t xml:space="preserve">ЧДД = </t>
  </si>
  <si>
    <t>Срок окупаемости (3.29):</t>
  </si>
  <si>
    <t>Вывод:</t>
  </si>
  <si>
    <t>3. Прибыль и эффективность</t>
  </si>
  <si>
    <t>Итоговые затраты</t>
  </si>
  <si>
    <t>Пользователь (преподаватель), месячный оклад</t>
  </si>
  <si>
    <t>Vср.мес</t>
  </si>
  <si>
    <t>Среднемесячное количество рабочих часов в 2017 году</t>
  </si>
  <si>
    <t>Sч = Sмес/Vср.мес</t>
  </si>
  <si>
    <t>Sч = Цч = Sмес/Vср.мес</t>
  </si>
  <si>
    <t>Норма рабочего времени на 2017 год при 40-часовой рабочей неделе</t>
  </si>
  <si>
    <t>c</t>
  </si>
  <si>
    <t>p</t>
  </si>
  <si>
    <t>Отчисления на социальные нужды (страховые взносы) (22% + 2,9% + 5,1%) (3.13):</t>
  </si>
  <si>
    <t>Трудозатраты с учетом языка программирования</t>
  </si>
  <si>
    <t xml:space="preserve">Чистый дисконтированный доход (ЧДД) </t>
  </si>
  <si>
    <t>Срок окупаемости</t>
  </si>
  <si>
    <t>Вывод</t>
  </si>
  <si>
    <t>Проект 1</t>
  </si>
  <si>
    <t>Проект 2</t>
  </si>
  <si>
    <t>Проект 3</t>
  </si>
  <si>
    <t>Проект 4</t>
  </si>
  <si>
    <t>Проект 5</t>
  </si>
  <si>
    <t>Итоговые данные</t>
  </si>
  <si>
    <t>Прибыль от использования продукта за год</t>
  </si>
  <si>
    <t xml:space="preserve">Итоговый </t>
  </si>
  <si>
    <t>Эффективность</t>
  </si>
  <si>
    <t>Максимальное</t>
  </si>
  <si>
    <t>эффективен</t>
  </si>
  <si>
    <t>рентабелен</t>
  </si>
  <si>
    <t>Минимальное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</si>
</sst>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6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right"/>
    </xf>
    <xf numFmtId="0" fontId="1" fillId="2" borderId="2" xfId="1" applyAlignment="1">
      <alignment horizontal="right"/>
    </xf>
    <xf numFmtId="0" fontId="2" fillId="2" borderId="1" xfId="2" applyAlignment="1">
      <alignment horizontal="center" vertical="center"/>
    </xf>
    <xf numFmtId="0" fontId="1" fillId="2" borderId="2" xfId="1" applyAlignment="1">
      <alignment horizontal="center" vertical="center"/>
    </xf>
    <xf numFmtId="0" fontId="0" fillId="0" borderId="0" xfId="0" applyBorder="1" applyAlignment="1"/>
    <xf numFmtId="0" fontId="0" fillId="0" borderId="0" xfId="0" applyAlignment="1">
      <alignment horizontal="left"/>
    </xf>
    <xf numFmtId="0" fontId="2" fillId="2" borderId="1" xfId="2" applyAlignment="1">
      <alignment horizontal="left"/>
    </xf>
    <xf numFmtId="4" fontId="2" fillId="2" borderId="1" xfId="2" applyNumberFormat="1"/>
    <xf numFmtId="4" fontId="0" fillId="0" borderId="0" xfId="0" applyNumberFormat="1"/>
    <xf numFmtId="4" fontId="2" fillId="2" borderId="1" xfId="2" applyNumberFormat="1" applyAlignment="1">
      <alignment horizontal="center" vertical="center"/>
    </xf>
    <xf numFmtId="10" fontId="1" fillId="2" borderId="2" xfId="3" applyNumberFormat="1" applyFont="1" applyFill="1" applyBorder="1" applyAlignment="1">
      <alignment horizontal="right"/>
    </xf>
    <xf numFmtId="0" fontId="2" fillId="2" borderId="3" xfId="2" applyBorder="1" applyAlignment="1">
      <alignment horizontal="left"/>
    </xf>
    <xf numFmtId="0" fontId="2" fillId="2" borderId="3" xfId="2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2" fillId="2" borderId="4" xfId="2" applyBorder="1" applyAlignment="1">
      <alignment horizontal="center" vertical="center"/>
    </xf>
    <xf numFmtId="0" fontId="6" fillId="2" borderId="2" xfId="1" applyFont="1" applyAlignment="1">
      <alignment horizontal="right"/>
    </xf>
    <xf numFmtId="0" fontId="7" fillId="0" borderId="0" xfId="0" applyFont="1" applyAlignment="1">
      <alignment horizontal="right"/>
    </xf>
    <xf numFmtId="0" fontId="6" fillId="2" borderId="3" xfId="1" applyFont="1" applyBorder="1" applyAlignment="1">
      <alignment horizontal="right"/>
    </xf>
    <xf numFmtId="4" fontId="2" fillId="2" borderId="3" xfId="2" applyNumberFormat="1" applyBorder="1"/>
    <xf numFmtId="3" fontId="2" fillId="2" borderId="1" xfId="2" applyNumberFormat="1"/>
    <xf numFmtId="4" fontId="2" fillId="2" borderId="3" xfId="2" applyNumberFormat="1" applyBorder="1" applyAlignment="1">
      <alignment horizontal="center" vertical="center"/>
    </xf>
    <xf numFmtId="0" fontId="2" fillId="2" borderId="5" xfId="2" applyBorder="1" applyAlignment="1">
      <alignment horizontal="left"/>
    </xf>
    <xf numFmtId="4" fontId="2" fillId="2" borderId="4" xfId="2" applyNumberFormat="1" applyBorder="1" applyAlignment="1">
      <alignment horizontal="center" vertical="center"/>
    </xf>
    <xf numFmtId="3" fontId="2" fillId="2" borderId="1" xfId="2" applyNumberFormat="1" applyAlignment="1">
      <alignment horizontal="center" vertical="center"/>
    </xf>
    <xf numFmtId="1" fontId="2" fillId="2" borderId="1" xfId="2" applyNumberFormat="1"/>
    <xf numFmtId="0" fontId="6" fillId="2" borderId="6" xfId="1" applyFont="1" applyBorder="1" applyAlignment="1">
      <alignment horizontal="right"/>
    </xf>
    <xf numFmtId="4" fontId="2" fillId="2" borderId="6" xfId="2" applyNumberFormat="1" applyBorder="1"/>
    <xf numFmtId="0" fontId="2" fillId="2" borderId="6" xfId="2" applyBorder="1" applyAlignment="1">
      <alignment horizontal="left"/>
    </xf>
    <xf numFmtId="0" fontId="2" fillId="2" borderId="6" xfId="2" applyBorder="1" applyAlignment="1">
      <alignment horizontal="center" vertical="center"/>
    </xf>
    <xf numFmtId="0" fontId="2" fillId="2" borderId="7" xfId="2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2" fillId="2" borderId="9" xfId="2" applyBorder="1" applyAlignment="1">
      <alignment horizontal="center" vertical="center"/>
    </xf>
    <xf numFmtId="4" fontId="2" fillId="2" borderId="9" xfId="2" applyNumberFormat="1" applyBorder="1" applyAlignment="1">
      <alignment horizontal="center" vertical="center"/>
    </xf>
    <xf numFmtId="3" fontId="2" fillId="2" borderId="3" xfId="2" applyNumberFormat="1" applyBorder="1" applyAlignment="1">
      <alignment horizontal="center" vertical="center"/>
    </xf>
    <xf numFmtId="0" fontId="2" fillId="2" borderId="1" xfId="2" applyNumberFormat="1"/>
    <xf numFmtId="1" fontId="2" fillId="2" borderId="1" xfId="2" applyNumberFormat="1" applyAlignment="1">
      <alignment horizontal="center"/>
    </xf>
    <xf numFmtId="4" fontId="2" fillId="2" borderId="1" xfId="2" applyNumberFormat="1" applyAlignment="1">
      <alignment horizontal="center"/>
    </xf>
    <xf numFmtId="3" fontId="2" fillId="2" borderId="1" xfId="2" applyNumberFormat="1" applyAlignment="1">
      <alignment horizontal="center"/>
    </xf>
    <xf numFmtId="0" fontId="1" fillId="2" borderId="10" xfId="1" applyBorder="1" applyAlignment="1">
      <alignment horizontal="right"/>
    </xf>
    <xf numFmtId="1" fontId="2" fillId="2" borderId="1" xfId="2" applyNumberFormat="1" applyAlignment="1">
      <alignment horizontal="center" vertical="center"/>
    </xf>
    <xf numFmtId="0" fontId="6" fillId="2" borderId="3" xfId="1" applyFont="1" applyBorder="1" applyAlignment="1">
      <alignment horizontal="left"/>
    </xf>
    <xf numFmtId="0" fontId="5" fillId="4" borderId="0" xfId="5" applyFont="1" applyAlignment="1">
      <alignment horizontal="center"/>
    </xf>
    <xf numFmtId="0" fontId="5" fillId="3" borderId="0" xfId="4" applyFont="1" applyAlignment="1">
      <alignment horizontal="center"/>
    </xf>
    <xf numFmtId="0" fontId="5" fillId="3" borderId="3" xfId="4" applyFont="1" applyBorder="1" applyAlignment="1">
      <alignment horizontal="center"/>
    </xf>
    <xf numFmtId="0" fontId="6" fillId="2" borderId="3" xfId="1" applyFont="1" applyBorder="1" applyAlignment="1">
      <alignment horizontal="center" vertical="center"/>
    </xf>
    <xf numFmtId="4" fontId="2" fillId="2" borderId="5" xfId="2" applyNumberFormat="1" applyBorder="1" applyAlignment="1">
      <alignment horizontal="center"/>
    </xf>
    <xf numFmtId="4" fontId="2" fillId="2" borderId="4" xfId="2" applyNumberFormat="1" applyBorder="1" applyAlignment="1">
      <alignment horizontal="center"/>
    </xf>
    <xf numFmtId="0" fontId="1" fillId="2" borderId="3" xfId="1" applyBorder="1" applyAlignment="1">
      <alignment horizontal="right"/>
    </xf>
    <xf numFmtId="0" fontId="1" fillId="2" borderId="5" xfId="1" applyBorder="1" applyAlignment="1">
      <alignment horizontal="right"/>
    </xf>
    <xf numFmtId="0" fontId="1" fillId="2" borderId="4" xfId="1" applyBorder="1" applyAlignment="1">
      <alignment horizontal="right"/>
    </xf>
  </cellXfs>
  <cellStyles count="6">
    <cellStyle name="Акцент1" xfId="5" builtinId="29"/>
    <cellStyle name="Акцент2" xfId="4" builtinId="33"/>
    <cellStyle name="Вывод" xfId="1" builtinId="21"/>
    <cellStyle name="Вычисление" xfId="2" builtinId="22"/>
    <cellStyle name="Обычный" xfId="0" builtinId="0"/>
    <cellStyle name="Процентный" xfId="3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workbookViewId="0">
      <selection activeCell="E10" sqref="E10"/>
    </sheetView>
  </sheetViews>
  <sheetFormatPr defaultRowHeight="15" x14ac:dyDescent="0.25"/>
  <cols>
    <col min="1" max="1" width="77.42578125" bestFit="1" customWidth="1"/>
    <col min="2" max="2" width="32.28515625" bestFit="1" customWidth="1"/>
    <col min="3" max="3" width="10.7109375" style="9" bestFit="1" customWidth="1"/>
    <col min="4" max="4" width="11" style="6" bestFit="1" customWidth="1"/>
    <col min="5" max="5" width="10" bestFit="1" customWidth="1"/>
    <col min="6" max="6" width="9" bestFit="1" customWidth="1"/>
    <col min="7" max="7" width="10" bestFit="1" customWidth="1"/>
  </cols>
  <sheetData>
    <row r="1" spans="1:11" x14ac:dyDescent="0.25">
      <c r="A1" s="43" t="s">
        <v>85</v>
      </c>
      <c r="B1" s="43"/>
      <c r="C1" s="43"/>
      <c r="D1" s="43"/>
      <c r="E1" s="43"/>
      <c r="F1" s="43"/>
      <c r="G1" s="43"/>
      <c r="H1" s="43"/>
      <c r="I1" s="43"/>
      <c r="J1" s="43"/>
    </row>
    <row r="2" spans="1:11" x14ac:dyDescent="0.25">
      <c r="A2" s="2" t="s">
        <v>0</v>
      </c>
      <c r="B2" s="2" t="s">
        <v>11</v>
      </c>
      <c r="C2" s="26">
        <v>575</v>
      </c>
    </row>
    <row r="3" spans="1:11" x14ac:dyDescent="0.25">
      <c r="A3" s="2" t="s">
        <v>81</v>
      </c>
      <c r="B3" s="2" t="s">
        <v>36</v>
      </c>
      <c r="C3" s="8">
        <v>5500</v>
      </c>
      <c r="D3" s="7" t="s">
        <v>84</v>
      </c>
    </row>
    <row r="4" spans="1:11" x14ac:dyDescent="0.25">
      <c r="A4" s="2" t="s">
        <v>129</v>
      </c>
      <c r="B4" s="2" t="s">
        <v>36</v>
      </c>
      <c r="C4" s="8">
        <v>11900</v>
      </c>
      <c r="D4" s="7" t="s">
        <v>84</v>
      </c>
    </row>
    <row r="5" spans="1:11" x14ac:dyDescent="0.25">
      <c r="A5" s="2" t="s">
        <v>88</v>
      </c>
      <c r="B5" s="11" t="s">
        <v>89</v>
      </c>
      <c r="C5" s="8">
        <v>160</v>
      </c>
      <c r="D5" s="7" t="s">
        <v>86</v>
      </c>
    </row>
    <row r="6" spans="1:11" x14ac:dyDescent="0.25">
      <c r="A6" s="2" t="s">
        <v>1</v>
      </c>
      <c r="B6" s="11" t="s">
        <v>82</v>
      </c>
      <c r="C6" s="8">
        <v>30</v>
      </c>
      <c r="D6" s="7" t="s">
        <v>86</v>
      </c>
    </row>
    <row r="7" spans="1:11" x14ac:dyDescent="0.25">
      <c r="A7" s="2" t="s">
        <v>87</v>
      </c>
      <c r="B7" s="2" t="s">
        <v>83</v>
      </c>
      <c r="C7" s="21">
        <v>3</v>
      </c>
      <c r="D7" s="7" t="s">
        <v>80</v>
      </c>
    </row>
    <row r="8" spans="1:11" x14ac:dyDescent="0.25">
      <c r="A8" s="2" t="s">
        <v>134</v>
      </c>
      <c r="B8" s="2" t="s">
        <v>59</v>
      </c>
      <c r="C8" s="21">
        <v>1973</v>
      </c>
      <c r="D8" s="7" t="s">
        <v>39</v>
      </c>
    </row>
    <row r="9" spans="1:11" x14ac:dyDescent="0.25">
      <c r="A9" s="2" t="s">
        <v>131</v>
      </c>
      <c r="B9" s="2" t="s">
        <v>130</v>
      </c>
      <c r="C9" s="8">
        <v>164.42</v>
      </c>
      <c r="D9" s="7" t="s">
        <v>39</v>
      </c>
    </row>
    <row r="10" spans="1:11" x14ac:dyDescent="0.25">
      <c r="A10" s="2"/>
      <c r="B10" s="2"/>
      <c r="C10" s="8"/>
      <c r="D10" s="7"/>
    </row>
    <row r="11" spans="1:11" x14ac:dyDescent="0.25">
      <c r="A11" s="44" t="s">
        <v>97</v>
      </c>
      <c r="B11" s="44"/>
      <c r="C11" s="44"/>
      <c r="D11" s="44"/>
      <c r="E11" s="44"/>
      <c r="F11" s="44"/>
      <c r="G11" s="44"/>
      <c r="H11" s="44"/>
      <c r="I11" s="44"/>
      <c r="J11" s="44"/>
    </row>
    <row r="12" spans="1:11" x14ac:dyDescent="0.25">
      <c r="C12"/>
      <c r="D12"/>
      <c r="E12" s="14" t="s">
        <v>11</v>
      </c>
      <c r="F12" s="15" t="s">
        <v>135</v>
      </c>
      <c r="G12" s="14" t="s">
        <v>136</v>
      </c>
    </row>
    <row r="13" spans="1:11" x14ac:dyDescent="0.25">
      <c r="A13" s="17" t="s">
        <v>95</v>
      </c>
      <c r="B13" s="17" t="s">
        <v>3</v>
      </c>
      <c r="C13" s="36">
        <f>ROUND(E13 * F13 * (1 + G13),2)</f>
        <v>790.63</v>
      </c>
      <c r="D13" s="7"/>
      <c r="E13" s="25">
        <f>C2</f>
        <v>575</v>
      </c>
      <c r="F13" s="3">
        <v>1.25</v>
      </c>
      <c r="G13" s="3">
        <v>0.1</v>
      </c>
    </row>
    <row r="14" spans="1:11" x14ac:dyDescent="0.25">
      <c r="A14" s="18"/>
      <c r="B14" s="18"/>
    </row>
    <row r="15" spans="1:11" x14ac:dyDescent="0.25">
      <c r="A15" s="19" t="s">
        <v>4</v>
      </c>
      <c r="B15" s="19" t="s">
        <v>5</v>
      </c>
      <c r="C15" s="20">
        <v>40</v>
      </c>
      <c r="D15" s="12" t="s">
        <v>7</v>
      </c>
      <c r="J15" s="5"/>
      <c r="K15" s="5"/>
    </row>
    <row r="16" spans="1:11" x14ac:dyDescent="0.25">
      <c r="A16" s="18"/>
      <c r="B16" s="18"/>
      <c r="E16" s="14" t="s">
        <v>2</v>
      </c>
      <c r="F16" s="15" t="s">
        <v>8</v>
      </c>
      <c r="G16" s="14" t="s">
        <v>9</v>
      </c>
      <c r="H16" s="14" t="s">
        <v>10</v>
      </c>
    </row>
    <row r="17" spans="1:10" x14ac:dyDescent="0.25">
      <c r="A17" s="19" t="s">
        <v>6</v>
      </c>
      <c r="B17" s="19" t="s">
        <v>51</v>
      </c>
      <c r="C17" s="20">
        <f xml:space="preserve"> ROUND(E17 * F17 / (G17 * H17),2)</f>
        <v>13.95</v>
      </c>
      <c r="D17" s="12" t="s">
        <v>7</v>
      </c>
      <c r="E17" s="13">
        <f>$C$13</f>
        <v>790.63</v>
      </c>
      <c r="F17" s="16">
        <v>1.2</v>
      </c>
      <c r="G17" s="13">
        <v>85</v>
      </c>
      <c r="H17" s="13">
        <v>0.8</v>
      </c>
    </row>
    <row r="18" spans="1:10" x14ac:dyDescent="0.25">
      <c r="A18" s="18"/>
      <c r="B18" s="18"/>
      <c r="E18" s="14" t="s">
        <v>2</v>
      </c>
      <c r="F18" s="15" t="s">
        <v>18</v>
      </c>
      <c r="G18" s="14" t="s">
        <v>10</v>
      </c>
    </row>
    <row r="19" spans="1:10" x14ac:dyDescent="0.25">
      <c r="A19" s="19" t="s">
        <v>12</v>
      </c>
      <c r="B19" s="19" t="s">
        <v>13</v>
      </c>
      <c r="C19" s="20">
        <f>ROUND(E19/(F19*G19),2)</f>
        <v>39.53</v>
      </c>
      <c r="D19" s="12" t="s">
        <v>7</v>
      </c>
      <c r="E19" s="13">
        <f>$C$13</f>
        <v>790.63</v>
      </c>
      <c r="F19" s="16">
        <v>25</v>
      </c>
      <c r="G19" s="13">
        <v>0.8</v>
      </c>
    </row>
    <row r="20" spans="1:10" x14ac:dyDescent="0.25">
      <c r="A20" s="18"/>
      <c r="B20" s="18"/>
      <c r="E20" s="14" t="s">
        <v>2</v>
      </c>
      <c r="F20" s="15" t="s">
        <v>19</v>
      </c>
      <c r="G20" s="14" t="s">
        <v>10</v>
      </c>
    </row>
    <row r="21" spans="1:10" x14ac:dyDescent="0.25">
      <c r="A21" s="19" t="s">
        <v>16</v>
      </c>
      <c r="B21" s="19" t="s">
        <v>14</v>
      </c>
      <c r="C21" s="20">
        <f>ROUND(E21/(F21*G21),2)</f>
        <v>39.53</v>
      </c>
      <c r="D21" s="12" t="s">
        <v>7</v>
      </c>
      <c r="E21" s="13">
        <f>$C$13</f>
        <v>790.63</v>
      </c>
      <c r="F21" s="16">
        <v>25</v>
      </c>
      <c r="G21" s="13">
        <v>0.8</v>
      </c>
    </row>
    <row r="22" spans="1:10" x14ac:dyDescent="0.25">
      <c r="A22" s="18"/>
      <c r="B22" s="18"/>
      <c r="E22" s="14" t="s">
        <v>2</v>
      </c>
      <c r="F22" s="15" t="s">
        <v>20</v>
      </c>
      <c r="G22" s="14" t="s">
        <v>10</v>
      </c>
    </row>
    <row r="23" spans="1:10" x14ac:dyDescent="0.25">
      <c r="A23" s="19" t="s">
        <v>17</v>
      </c>
      <c r="B23" s="19" t="s">
        <v>15</v>
      </c>
      <c r="C23" s="20">
        <f>ROUND(E23/(F23*G23),2)</f>
        <v>197.66</v>
      </c>
      <c r="D23" s="12" t="s">
        <v>7</v>
      </c>
      <c r="E23" s="13">
        <f>$C$13</f>
        <v>790.63</v>
      </c>
      <c r="F23" s="16">
        <v>5</v>
      </c>
      <c r="G23" s="13">
        <v>0.8</v>
      </c>
    </row>
    <row r="24" spans="1:10" x14ac:dyDescent="0.25">
      <c r="A24" s="18"/>
      <c r="B24" s="18"/>
      <c r="E24" s="14" t="s">
        <v>2</v>
      </c>
      <c r="F24" s="15" t="s">
        <v>23</v>
      </c>
      <c r="G24" s="14" t="s">
        <v>10</v>
      </c>
    </row>
    <row r="25" spans="1:10" x14ac:dyDescent="0.25">
      <c r="A25" s="19" t="s">
        <v>21</v>
      </c>
      <c r="B25" s="19" t="s">
        <v>22</v>
      </c>
      <c r="C25" s="20">
        <f>ROUND(E25/(F25*G25),2)</f>
        <v>49.41</v>
      </c>
      <c r="D25" s="12" t="s">
        <v>7</v>
      </c>
      <c r="E25" s="13">
        <f>$C$13</f>
        <v>790.63</v>
      </c>
      <c r="F25" s="16">
        <v>20</v>
      </c>
      <c r="G25" s="13">
        <v>0.8</v>
      </c>
    </row>
    <row r="26" spans="1:10" x14ac:dyDescent="0.25">
      <c r="A26" s="18"/>
      <c r="B26" s="18"/>
      <c r="E26" s="14" t="s">
        <v>26</v>
      </c>
    </row>
    <row r="27" spans="1:10" x14ac:dyDescent="0.25">
      <c r="A27" s="19" t="s">
        <v>24</v>
      </c>
      <c r="B27" s="19" t="s">
        <v>25</v>
      </c>
      <c r="C27" s="20">
        <f>ROUND(0.75*E27,2)</f>
        <v>37.06</v>
      </c>
      <c r="D27" s="12" t="s">
        <v>7</v>
      </c>
      <c r="E27" s="13">
        <f>C25</f>
        <v>49.41</v>
      </c>
    </row>
    <row r="28" spans="1:10" x14ac:dyDescent="0.25">
      <c r="A28" s="18"/>
      <c r="B28" s="18"/>
      <c r="E28" s="14" t="s">
        <v>26</v>
      </c>
      <c r="F28" s="15" t="s">
        <v>5</v>
      </c>
    </row>
    <row r="29" spans="1:10" x14ac:dyDescent="0.25">
      <c r="A29" s="19" t="s">
        <v>34</v>
      </c>
      <c r="B29" s="19" t="s">
        <v>35</v>
      </c>
      <c r="C29" s="20">
        <f>ROUND(E29+F29,2)</f>
        <v>86.47</v>
      </c>
      <c r="D29" s="12" t="s">
        <v>7</v>
      </c>
      <c r="E29" s="13">
        <f>C25</f>
        <v>49.41</v>
      </c>
      <c r="F29" s="16">
        <f>C27</f>
        <v>37.06</v>
      </c>
    </row>
    <row r="30" spans="1:10" x14ac:dyDescent="0.25">
      <c r="A30" s="18"/>
      <c r="B30" s="18"/>
      <c r="E30" s="14" t="s">
        <v>5</v>
      </c>
      <c r="F30" s="15" t="s">
        <v>29</v>
      </c>
      <c r="G30" s="14" t="s">
        <v>30</v>
      </c>
      <c r="H30" s="14" t="s">
        <v>31</v>
      </c>
      <c r="I30" s="14" t="s">
        <v>32</v>
      </c>
      <c r="J30" s="14" t="s">
        <v>33</v>
      </c>
    </row>
    <row r="31" spans="1:10" x14ac:dyDescent="0.25">
      <c r="A31" s="19" t="s">
        <v>27</v>
      </c>
      <c r="B31" s="19" t="s">
        <v>28</v>
      </c>
      <c r="C31" s="20">
        <f>ROUND(E31+F31+G31+H31+I31+J31,2)</f>
        <v>417.14</v>
      </c>
      <c r="D31" s="12" t="s">
        <v>7</v>
      </c>
      <c r="E31" s="13">
        <f>C15</f>
        <v>40</v>
      </c>
      <c r="F31" s="16">
        <f>C17</f>
        <v>13.95</v>
      </c>
      <c r="G31" s="13">
        <f>C19</f>
        <v>39.53</v>
      </c>
      <c r="H31" s="13">
        <f>C21</f>
        <v>39.53</v>
      </c>
      <c r="I31" s="13">
        <f>C23</f>
        <v>197.66</v>
      </c>
      <c r="J31" s="13">
        <f>C29</f>
        <v>86.47</v>
      </c>
    </row>
    <row r="32" spans="1:10" x14ac:dyDescent="0.25">
      <c r="A32" s="18"/>
      <c r="B32" s="18"/>
      <c r="D32"/>
      <c r="E32" s="14" t="s">
        <v>52</v>
      </c>
      <c r="F32" s="15" t="s">
        <v>40</v>
      </c>
    </row>
    <row r="33" spans="1:10" x14ac:dyDescent="0.25">
      <c r="A33" s="27" t="s">
        <v>98</v>
      </c>
      <c r="B33" s="27" t="s">
        <v>99</v>
      </c>
      <c r="C33" s="28">
        <f>ROUND(E33*F33,2)</f>
        <v>333.71</v>
      </c>
      <c r="D33" s="29" t="s">
        <v>7</v>
      </c>
      <c r="E33" s="30">
        <f>C31</f>
        <v>417.14</v>
      </c>
      <c r="F33" s="31">
        <v>0.8</v>
      </c>
    </row>
    <row r="34" spans="1:10" x14ac:dyDescent="0.25">
      <c r="A34" s="45" t="s">
        <v>100</v>
      </c>
      <c r="B34" s="45"/>
      <c r="C34" s="45"/>
      <c r="D34" s="45"/>
      <c r="E34" s="45"/>
      <c r="F34" s="45"/>
      <c r="G34" s="45"/>
      <c r="H34" s="45"/>
      <c r="I34" s="45"/>
      <c r="J34" s="45"/>
    </row>
    <row r="35" spans="1:10" x14ac:dyDescent="0.25">
      <c r="E35" s="32" t="s">
        <v>36</v>
      </c>
      <c r="F35" s="32" t="s">
        <v>130</v>
      </c>
    </row>
    <row r="36" spans="1:10" x14ac:dyDescent="0.25">
      <c r="A36" s="19" t="s">
        <v>104</v>
      </c>
      <c r="B36" s="19" t="s">
        <v>132</v>
      </c>
      <c r="C36" s="20">
        <f>ROUND(E36/F36,2)</f>
        <v>33.450000000000003</v>
      </c>
      <c r="D36" s="12" t="s">
        <v>105</v>
      </c>
      <c r="E36" s="13">
        <f>C3</f>
        <v>5500</v>
      </c>
      <c r="F36" s="22">
        <f>C9</f>
        <v>164.42</v>
      </c>
    </row>
    <row r="37" spans="1:10" x14ac:dyDescent="0.25">
      <c r="A37" s="1"/>
      <c r="B37" s="1"/>
      <c r="E37" s="14" t="s">
        <v>54</v>
      </c>
      <c r="F37" s="15" t="s">
        <v>41</v>
      </c>
    </row>
    <row r="38" spans="1:10" x14ac:dyDescent="0.25">
      <c r="A38" s="19" t="s">
        <v>96</v>
      </c>
      <c r="B38" s="19" t="s">
        <v>53</v>
      </c>
      <c r="C38" s="20">
        <f>ROUND(E38*F38,2)</f>
        <v>11162.6</v>
      </c>
      <c r="D38" s="12" t="s">
        <v>37</v>
      </c>
      <c r="E38" s="13">
        <f>C33</f>
        <v>333.71</v>
      </c>
      <c r="F38" s="16">
        <f>C36</f>
        <v>33.450000000000003</v>
      </c>
    </row>
    <row r="39" spans="1:10" x14ac:dyDescent="0.25">
      <c r="A39" s="1"/>
      <c r="B39" s="1"/>
      <c r="E39" s="14" t="s">
        <v>55</v>
      </c>
      <c r="F39" s="15" t="s">
        <v>10</v>
      </c>
    </row>
    <row r="40" spans="1:10" x14ac:dyDescent="0.25">
      <c r="A40" s="19" t="s">
        <v>103</v>
      </c>
      <c r="B40" s="19" t="s">
        <v>111</v>
      </c>
      <c r="C40" s="20">
        <f>ROUND(F40*E40,2)</f>
        <v>1116.26</v>
      </c>
      <c r="D40" s="12" t="s">
        <v>37</v>
      </c>
      <c r="E40" s="13">
        <f>C38</f>
        <v>11162.6</v>
      </c>
      <c r="F40" s="16">
        <v>0.1</v>
      </c>
    </row>
    <row r="41" spans="1:10" x14ac:dyDescent="0.25">
      <c r="A41" s="1"/>
      <c r="B41" s="1"/>
      <c r="E41" s="14" t="s">
        <v>55</v>
      </c>
      <c r="F41" s="15" t="s">
        <v>56</v>
      </c>
      <c r="G41" s="14" t="s">
        <v>92</v>
      </c>
    </row>
    <row r="42" spans="1:10" x14ac:dyDescent="0.25">
      <c r="A42" s="19" t="s">
        <v>137</v>
      </c>
      <c r="B42" s="19" t="s">
        <v>93</v>
      </c>
      <c r="C42" s="20">
        <f>ROUND(G42*(E42+F42),2)</f>
        <v>3438.08</v>
      </c>
      <c r="D42" s="12" t="s">
        <v>37</v>
      </c>
      <c r="E42" s="13">
        <f>C38</f>
        <v>11162.6</v>
      </c>
      <c r="F42" s="24">
        <f>C40</f>
        <v>1116.26</v>
      </c>
      <c r="G42" s="22">
        <f>0.2+0.029+0.051</f>
        <v>0.28000000000000003</v>
      </c>
    </row>
    <row r="43" spans="1:10" x14ac:dyDescent="0.25">
      <c r="A43" s="1"/>
      <c r="B43" s="1"/>
      <c r="E43" s="4" t="s">
        <v>31</v>
      </c>
      <c r="F43" s="4" t="s">
        <v>38</v>
      </c>
      <c r="G43" s="4" t="s">
        <v>32</v>
      </c>
      <c r="H43" s="4" t="s">
        <v>40</v>
      </c>
    </row>
    <row r="44" spans="1:10" x14ac:dyDescent="0.25">
      <c r="A44" s="19" t="s">
        <v>109</v>
      </c>
      <c r="B44" s="19" t="s">
        <v>110</v>
      </c>
      <c r="C44" s="20">
        <f>ROUND(1.15*(E44+F44+G44) * H44,2)</f>
        <v>252.31</v>
      </c>
      <c r="D44" s="12" t="s">
        <v>39</v>
      </c>
      <c r="E44" s="10">
        <f>C21</f>
        <v>39.53</v>
      </c>
      <c r="F44" s="10">
        <f>C27</f>
        <v>37.06</v>
      </c>
      <c r="G44" s="10">
        <f>C23</f>
        <v>197.66</v>
      </c>
      <c r="H44" s="3">
        <f>F33</f>
        <v>0.8</v>
      </c>
    </row>
    <row r="45" spans="1:10" x14ac:dyDescent="0.25">
      <c r="A45" s="1"/>
      <c r="B45" s="1"/>
      <c r="E45" s="14" t="s">
        <v>43</v>
      </c>
      <c r="F45" s="15" t="s">
        <v>44</v>
      </c>
      <c r="G45" s="14" t="s">
        <v>45</v>
      </c>
    </row>
    <row r="46" spans="1:10" x14ac:dyDescent="0.25">
      <c r="A46" s="19" t="s">
        <v>102</v>
      </c>
      <c r="B46" s="19" t="s">
        <v>42</v>
      </c>
      <c r="C46" s="20">
        <f>ROUND(E46*F46*G46,2)</f>
        <v>220.14</v>
      </c>
      <c r="D46" s="12" t="s">
        <v>37</v>
      </c>
      <c r="E46" s="13">
        <v>0.25</v>
      </c>
      <c r="F46" s="24">
        <f>C44</f>
        <v>252.31</v>
      </c>
      <c r="G46" s="13">
        <v>3.49</v>
      </c>
    </row>
    <row r="47" spans="1:10" x14ac:dyDescent="0.25">
      <c r="A47" s="1"/>
      <c r="B47" s="1"/>
    </row>
    <row r="48" spans="1:10" x14ac:dyDescent="0.25">
      <c r="A48" s="19" t="s">
        <v>101</v>
      </c>
      <c r="B48" s="19" t="s">
        <v>107</v>
      </c>
      <c r="C48" s="20">
        <v>400</v>
      </c>
      <c r="D48" s="12" t="s">
        <v>37</v>
      </c>
    </row>
    <row r="49" spans="1:10" x14ac:dyDescent="0.25">
      <c r="A49" s="1"/>
      <c r="B49" s="1"/>
      <c r="E49" s="4" t="s">
        <v>57</v>
      </c>
      <c r="F49" s="4" t="s">
        <v>58</v>
      </c>
      <c r="G49" s="4" t="s">
        <v>44</v>
      </c>
      <c r="H49" s="4" t="s">
        <v>59</v>
      </c>
    </row>
    <row r="50" spans="1:10" x14ac:dyDescent="0.25">
      <c r="A50" s="19" t="s">
        <v>108</v>
      </c>
      <c r="B50" s="19" t="s">
        <v>94</v>
      </c>
      <c r="C50" s="20">
        <f>ROUND(E50 * F50 * G50 / H50,2)</f>
        <v>76.73</v>
      </c>
      <c r="D50" s="12" t="s">
        <v>37</v>
      </c>
      <c r="E50" s="3">
        <v>15000</v>
      </c>
      <c r="F50" s="3">
        <v>0.04</v>
      </c>
      <c r="G50" s="10">
        <f>C44</f>
        <v>252.31</v>
      </c>
      <c r="H50" s="25">
        <f>C8</f>
        <v>1973</v>
      </c>
    </row>
    <row r="51" spans="1:10" x14ac:dyDescent="0.25">
      <c r="A51" s="1"/>
      <c r="B51" s="1"/>
      <c r="E51" s="4" t="s">
        <v>55</v>
      </c>
      <c r="F51" s="4" t="s">
        <v>56</v>
      </c>
      <c r="G51" s="4" t="s">
        <v>60</v>
      </c>
      <c r="H51" s="4" t="s">
        <v>49</v>
      </c>
      <c r="I51" s="4" t="s">
        <v>46</v>
      </c>
      <c r="J51" s="4" t="s">
        <v>50</v>
      </c>
    </row>
    <row r="52" spans="1:10" x14ac:dyDescent="0.25">
      <c r="A52" s="27" t="s">
        <v>128</v>
      </c>
      <c r="B52" s="27" t="s">
        <v>73</v>
      </c>
      <c r="C52" s="28">
        <f>ROUND(SUM(E52:J52),2)</f>
        <v>16413.810000000001</v>
      </c>
      <c r="D52" s="29" t="s">
        <v>37</v>
      </c>
      <c r="E52" s="33">
        <f>C38</f>
        <v>11162.6</v>
      </c>
      <c r="F52" s="34">
        <f>C40</f>
        <v>1116.26</v>
      </c>
      <c r="G52" s="34">
        <f>C42</f>
        <v>3438.08</v>
      </c>
      <c r="H52" s="34">
        <f>C46</f>
        <v>220.14</v>
      </c>
      <c r="I52" s="34">
        <f>C48</f>
        <v>400</v>
      </c>
      <c r="J52" s="34">
        <f>C50</f>
        <v>76.73</v>
      </c>
    </row>
    <row r="53" spans="1:10" x14ac:dyDescent="0.25">
      <c r="A53" s="45" t="s">
        <v>127</v>
      </c>
      <c r="B53" s="45"/>
      <c r="C53" s="45"/>
      <c r="D53" s="45"/>
      <c r="E53" s="45"/>
      <c r="F53" s="45"/>
      <c r="G53" s="45"/>
      <c r="H53" s="45"/>
      <c r="I53" s="45"/>
      <c r="J53" s="45"/>
    </row>
    <row r="54" spans="1:10" x14ac:dyDescent="0.25">
      <c r="E54" s="32" t="s">
        <v>36</v>
      </c>
      <c r="F54" s="32" t="s">
        <v>130</v>
      </c>
    </row>
    <row r="55" spans="1:10" x14ac:dyDescent="0.25">
      <c r="A55" s="19" t="s">
        <v>113</v>
      </c>
      <c r="B55" s="19" t="s">
        <v>133</v>
      </c>
      <c r="C55" s="20">
        <f>ROUND(E55/F55,2)</f>
        <v>72.38</v>
      </c>
      <c r="D55" s="23" t="s">
        <v>105</v>
      </c>
      <c r="E55" s="22">
        <f>C4</f>
        <v>11900</v>
      </c>
      <c r="F55" s="22">
        <f>C9</f>
        <v>164.42</v>
      </c>
    </row>
    <row r="56" spans="1:10" x14ac:dyDescent="0.25">
      <c r="A56" s="1"/>
      <c r="E56" s="14" t="s">
        <v>106</v>
      </c>
      <c r="F56" s="14" t="s">
        <v>61</v>
      </c>
      <c r="G56" s="14" t="s">
        <v>62</v>
      </c>
    </row>
    <row r="57" spans="1:10" x14ac:dyDescent="0.25">
      <c r="A57" s="19" t="s">
        <v>114</v>
      </c>
      <c r="B57" s="19" t="s">
        <v>90</v>
      </c>
      <c r="C57" s="20">
        <f>ROUND(E57*F57*G57,2)</f>
        <v>23161.599999999999</v>
      </c>
      <c r="D57" s="23" t="s">
        <v>63</v>
      </c>
      <c r="E57" s="22">
        <f>C5</f>
        <v>160</v>
      </c>
      <c r="F57" s="13">
        <f>C55</f>
        <v>72.38</v>
      </c>
      <c r="G57" s="13">
        <v>2</v>
      </c>
    </row>
    <row r="58" spans="1:10" x14ac:dyDescent="0.25">
      <c r="A58" s="1"/>
      <c r="E58" s="14" t="s">
        <v>82</v>
      </c>
      <c r="F58" s="14" t="s">
        <v>61</v>
      </c>
      <c r="G58" s="14" t="s">
        <v>62</v>
      </c>
    </row>
    <row r="59" spans="1:10" x14ac:dyDescent="0.25">
      <c r="A59" s="19" t="s">
        <v>115</v>
      </c>
      <c r="B59" s="19" t="s">
        <v>91</v>
      </c>
      <c r="C59" s="20">
        <f>ROUND(E59*F59*G59,2)</f>
        <v>4342.8</v>
      </c>
      <c r="D59" s="23" t="s">
        <v>63</v>
      </c>
      <c r="E59" s="22">
        <f>C6</f>
        <v>30</v>
      </c>
      <c r="F59" s="13">
        <f>C55</f>
        <v>72.38</v>
      </c>
      <c r="G59" s="13">
        <v>2</v>
      </c>
    </row>
    <row r="60" spans="1:10" x14ac:dyDescent="0.25">
      <c r="A60" s="1"/>
      <c r="E60" s="14" t="s">
        <v>65</v>
      </c>
      <c r="F60" s="14" t="s">
        <v>47</v>
      </c>
      <c r="G60" s="14" t="s">
        <v>66</v>
      </c>
    </row>
    <row r="61" spans="1:10" x14ac:dyDescent="0.25">
      <c r="A61" s="19" t="s">
        <v>116</v>
      </c>
      <c r="B61" s="19" t="s">
        <v>64</v>
      </c>
      <c r="C61" s="20">
        <f>ROUND(E61-F61+G61,2)</f>
        <v>18818.8</v>
      </c>
      <c r="D61" s="23" t="s">
        <v>63</v>
      </c>
      <c r="E61" s="13">
        <f>C57</f>
        <v>23161.599999999999</v>
      </c>
      <c r="F61" s="13">
        <f>C59</f>
        <v>4342.8</v>
      </c>
      <c r="G61" s="13">
        <v>0</v>
      </c>
    </row>
    <row r="62" spans="1:10" x14ac:dyDescent="0.25">
      <c r="A62" s="1"/>
      <c r="E62" s="14" t="s">
        <v>57</v>
      </c>
      <c r="F62" s="14" t="s">
        <v>58</v>
      </c>
      <c r="G62" s="14" t="s">
        <v>69</v>
      </c>
      <c r="H62" s="14" t="s">
        <v>59</v>
      </c>
    </row>
    <row r="63" spans="1:10" x14ac:dyDescent="0.25">
      <c r="A63" s="19" t="s">
        <v>117</v>
      </c>
      <c r="B63" s="19" t="s">
        <v>68</v>
      </c>
      <c r="C63" s="20">
        <f>ROUND(E63 * F63 * G63 / H63,2)</f>
        <v>12.16</v>
      </c>
      <c r="D63" s="23" t="s">
        <v>63</v>
      </c>
      <c r="E63" s="13">
        <v>15000</v>
      </c>
      <c r="F63" s="13">
        <v>0.04</v>
      </c>
      <c r="G63" s="13">
        <v>40</v>
      </c>
      <c r="H63" s="35">
        <f>C8</f>
        <v>1973</v>
      </c>
    </row>
    <row r="64" spans="1:10" x14ac:dyDescent="0.25">
      <c r="A64" s="1"/>
      <c r="E64" s="14" t="s">
        <v>43</v>
      </c>
      <c r="F64" s="14" t="s">
        <v>69</v>
      </c>
      <c r="G64" s="14" t="s">
        <v>45</v>
      </c>
    </row>
    <row r="65" spans="1:7" x14ac:dyDescent="0.25">
      <c r="A65" s="19" t="s">
        <v>118</v>
      </c>
      <c r="B65" s="19" t="s">
        <v>70</v>
      </c>
      <c r="C65" s="20">
        <f>ROUND(E65*F65*G65,2)</f>
        <v>34.9</v>
      </c>
      <c r="D65" s="23" t="s">
        <v>63</v>
      </c>
      <c r="E65" s="13">
        <v>0.25</v>
      </c>
      <c r="F65" s="13">
        <v>40</v>
      </c>
      <c r="G65" s="13">
        <v>3.49</v>
      </c>
    </row>
    <row r="66" spans="1:7" x14ac:dyDescent="0.25">
      <c r="A66" s="1"/>
      <c r="E66" s="14" t="s">
        <v>50</v>
      </c>
      <c r="F66" s="14" t="s">
        <v>49</v>
      </c>
    </row>
    <row r="67" spans="1:7" x14ac:dyDescent="0.25">
      <c r="A67" s="19" t="s">
        <v>119</v>
      </c>
      <c r="B67" s="19" t="s">
        <v>67</v>
      </c>
      <c r="C67" s="20">
        <f>ROUND(E67+F67,2)</f>
        <v>47.06</v>
      </c>
      <c r="D67" s="23" t="s">
        <v>63</v>
      </c>
      <c r="E67" s="22">
        <f>C63</f>
        <v>12.16</v>
      </c>
      <c r="F67" s="22">
        <f>C65</f>
        <v>34.9</v>
      </c>
    </row>
    <row r="68" spans="1:7" x14ac:dyDescent="0.25">
      <c r="A68" s="1"/>
      <c r="E68" s="14" t="s">
        <v>48</v>
      </c>
      <c r="F68" s="14" t="s">
        <v>72</v>
      </c>
    </row>
    <row r="69" spans="1:7" x14ac:dyDescent="0.25">
      <c r="A69" s="19" t="s">
        <v>120</v>
      </c>
      <c r="B69" s="19" t="s">
        <v>71</v>
      </c>
      <c r="C69" s="20">
        <f>ROUND(E69-F69,2)</f>
        <v>18771.740000000002</v>
      </c>
      <c r="D69" s="23" t="s">
        <v>63</v>
      </c>
      <c r="E69" s="22">
        <f>C61</f>
        <v>18818.8</v>
      </c>
      <c r="F69" s="22">
        <f>C67</f>
        <v>47.06</v>
      </c>
    </row>
    <row r="70" spans="1:7" x14ac:dyDescent="0.25">
      <c r="E70" s="14" t="s">
        <v>74</v>
      </c>
    </row>
    <row r="71" spans="1:7" x14ac:dyDescent="0.25">
      <c r="A71" s="19" t="s">
        <v>121</v>
      </c>
      <c r="B71" s="19" t="s">
        <v>112</v>
      </c>
      <c r="C71" s="20">
        <f>E71</f>
        <v>16413.810000000001</v>
      </c>
      <c r="D71" s="23" t="s">
        <v>63</v>
      </c>
      <c r="E71" s="22">
        <f>C52</f>
        <v>16413.810000000001</v>
      </c>
    </row>
    <row r="72" spans="1:7" x14ac:dyDescent="0.25">
      <c r="A72" s="1"/>
      <c r="E72" s="14" t="s">
        <v>75</v>
      </c>
      <c r="F72" s="14" t="s">
        <v>76</v>
      </c>
      <c r="G72" s="14" t="s">
        <v>77</v>
      </c>
    </row>
    <row r="73" spans="1:7" x14ac:dyDescent="0.25">
      <c r="A73" s="46" t="s">
        <v>122</v>
      </c>
      <c r="B73" s="19" t="s">
        <v>123</v>
      </c>
      <c r="C73" s="47" t="str">
        <f>IF(C79&lt;0,"проект не эффективен","проект эффективен")</f>
        <v>проект эффективен</v>
      </c>
      <c r="D73" s="48"/>
      <c r="E73" s="24">
        <f>C69</f>
        <v>18771.740000000002</v>
      </c>
      <c r="F73" s="13">
        <v>0.2</v>
      </c>
      <c r="G73" s="22">
        <f>C71</f>
        <v>16413.810000000001</v>
      </c>
    </row>
    <row r="74" spans="1:7" x14ac:dyDescent="0.25">
      <c r="A74" s="46"/>
      <c r="B74" s="19">
        <f>IF(1 &lt;=$C$7,1,"")</f>
        <v>1</v>
      </c>
      <c r="C74" s="20">
        <f>IFERROR(ROUND($E$73*1/POWER((1-$F$73),B74),2),"")</f>
        <v>23464.68</v>
      </c>
      <c r="D74" s="12" t="s">
        <v>37</v>
      </c>
    </row>
    <row r="75" spans="1:7" x14ac:dyDescent="0.25">
      <c r="A75" s="46"/>
      <c r="B75" s="19">
        <f>IF(2 &lt;=$C$7,2,"")</f>
        <v>2</v>
      </c>
      <c r="C75" s="20">
        <f t="shared" ref="C75:C78" si="0">IFERROR(ROUND($E$73*1/POWER((1-$F$73),B75),2),"")</f>
        <v>29330.84</v>
      </c>
      <c r="D75" s="12" t="s">
        <v>37</v>
      </c>
    </row>
    <row r="76" spans="1:7" x14ac:dyDescent="0.25">
      <c r="A76" s="46"/>
      <c r="B76" s="19">
        <f>IF(3 &lt;=$C$7,3,"")</f>
        <v>3</v>
      </c>
      <c r="C76" s="20">
        <f t="shared" si="0"/>
        <v>36663.550000000003</v>
      </c>
      <c r="D76" s="12" t="s">
        <v>37</v>
      </c>
    </row>
    <row r="77" spans="1:7" x14ac:dyDescent="0.25">
      <c r="A77" s="46"/>
      <c r="B77" s="19" t="str">
        <f>IF(4 &lt;=$C$7,4,"")</f>
        <v/>
      </c>
      <c r="C77" s="20" t="str">
        <f t="shared" si="0"/>
        <v/>
      </c>
      <c r="D77" s="12" t="s">
        <v>37</v>
      </c>
    </row>
    <row r="78" spans="1:7" x14ac:dyDescent="0.25">
      <c r="A78" s="46"/>
      <c r="B78" s="19" t="str">
        <f>IF(5 &lt;=$C$7,5,"")</f>
        <v/>
      </c>
      <c r="C78" s="20" t="str">
        <f t="shared" si="0"/>
        <v/>
      </c>
      <c r="D78" s="12" t="s">
        <v>37</v>
      </c>
    </row>
    <row r="79" spans="1:7" x14ac:dyDescent="0.25">
      <c r="A79" s="46"/>
      <c r="B79" s="19" t="s">
        <v>124</v>
      </c>
      <c r="C79" s="20">
        <f>SUM(C74:C78)-G73</f>
        <v>73045.260000000009</v>
      </c>
      <c r="D79" s="12" t="s">
        <v>37</v>
      </c>
    </row>
    <row r="80" spans="1:7" x14ac:dyDescent="0.25">
      <c r="E80" s="14" t="s">
        <v>79</v>
      </c>
      <c r="F80" s="14" t="s">
        <v>75</v>
      </c>
    </row>
    <row r="81" spans="1:10" x14ac:dyDescent="0.25">
      <c r="A81" s="19" t="s">
        <v>125</v>
      </c>
      <c r="B81" s="19" t="s">
        <v>78</v>
      </c>
      <c r="C81" s="20">
        <f>ROUND(E81/F81,2)</f>
        <v>0.87</v>
      </c>
      <c r="D81" s="23" t="s">
        <v>80</v>
      </c>
      <c r="E81" s="22">
        <f>C52</f>
        <v>16413.810000000001</v>
      </c>
      <c r="F81" s="22">
        <f>C69</f>
        <v>18771.740000000002</v>
      </c>
    </row>
    <row r="83" spans="1:10" x14ac:dyDescent="0.25">
      <c r="A83" s="19" t="s">
        <v>126</v>
      </c>
      <c r="B83" s="42" t="str">
        <f>IF(C81&gt;C7,"Проект не рентабелен, срок окупаемости больше срока службы","Проект рентабелен")</f>
        <v>Проект рентабелен</v>
      </c>
      <c r="C83" s="42"/>
      <c r="D83" s="42"/>
      <c r="E83" s="42"/>
      <c r="F83" s="42"/>
      <c r="G83" s="42"/>
      <c r="H83" s="42"/>
      <c r="I83" s="42"/>
      <c r="J83" s="42"/>
    </row>
  </sheetData>
  <mergeCells count="7">
    <mergeCell ref="B83:J83"/>
    <mergeCell ref="A1:J1"/>
    <mergeCell ref="A11:J11"/>
    <mergeCell ref="A34:J34"/>
    <mergeCell ref="A53:J53"/>
    <mergeCell ref="A73:A79"/>
    <mergeCell ref="C73:D73"/>
  </mergeCells>
  <conditionalFormatting sqref="C73:D73">
    <cfRule type="cellIs" dxfId="3" priority="3" operator="equal">
      <formula>"проект не эффективен"</formula>
    </cfRule>
    <cfRule type="cellIs" dxfId="2" priority="4" operator="equal">
      <formula>"проект эффективен"</formula>
    </cfRule>
  </conditionalFormatting>
  <conditionalFormatting sqref="B83:J83">
    <cfRule type="cellIs" dxfId="1" priority="1" operator="equal">
      <formula>"Проект не рентабелен, срок окупаемости больше срока службы"</formula>
    </cfRule>
    <cfRule type="cellIs" dxfId="0" priority="2" operator="equal">
      <formula>"Проект рентабелен"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B1" workbookViewId="0">
      <selection activeCell="A9" sqref="A9"/>
    </sheetView>
  </sheetViews>
  <sheetFormatPr defaultRowHeight="15" x14ac:dyDescent="0.25"/>
  <cols>
    <col min="1" max="1" width="67.140625" customWidth="1"/>
    <col min="2" max="2" width="10" customWidth="1"/>
    <col min="3" max="7" width="17.28515625" customWidth="1"/>
    <col min="8" max="8" width="16.140625" customWidth="1"/>
    <col min="9" max="9" width="14.5703125" customWidth="1"/>
    <col min="10" max="10" width="14.85546875" customWidth="1"/>
  </cols>
  <sheetData>
    <row r="1" spans="1:10" x14ac:dyDescent="0.25">
      <c r="A1" s="43" t="s">
        <v>85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x14ac:dyDescent="0.25">
      <c r="C2" s="4" t="s">
        <v>142</v>
      </c>
      <c r="D2" s="4" t="s">
        <v>143</v>
      </c>
      <c r="E2" s="4" t="s">
        <v>144</v>
      </c>
      <c r="F2" s="4" t="s">
        <v>145</v>
      </c>
      <c r="G2" s="4" t="s">
        <v>146</v>
      </c>
      <c r="H2" s="4" t="s">
        <v>149</v>
      </c>
      <c r="I2" s="4" t="s">
        <v>151</v>
      </c>
      <c r="J2" s="4" t="s">
        <v>154</v>
      </c>
    </row>
    <row r="3" spans="1:10" x14ac:dyDescent="0.25">
      <c r="A3" s="2" t="s">
        <v>0</v>
      </c>
      <c r="B3" s="2" t="s">
        <v>11</v>
      </c>
      <c r="C3" s="41">
        <v>1000</v>
      </c>
      <c r="D3" s="41">
        <v>1500</v>
      </c>
      <c r="E3" s="41">
        <v>2000</v>
      </c>
      <c r="F3" s="41">
        <v>2500</v>
      </c>
      <c r="G3" s="41">
        <v>3000</v>
      </c>
      <c r="H3" s="37">
        <v>1000</v>
      </c>
      <c r="I3" s="37">
        <v>1570</v>
      </c>
      <c r="J3" s="37">
        <v>500</v>
      </c>
    </row>
    <row r="4" spans="1:10" x14ac:dyDescent="0.25">
      <c r="A4" s="2" t="s">
        <v>81</v>
      </c>
      <c r="B4" s="2" t="s">
        <v>36</v>
      </c>
      <c r="C4" s="10">
        <v>7800</v>
      </c>
      <c r="D4" s="10">
        <v>7800</v>
      </c>
      <c r="E4" s="10">
        <v>7800</v>
      </c>
      <c r="F4" s="10">
        <v>7800</v>
      </c>
      <c r="G4" s="10">
        <v>7800</v>
      </c>
      <c r="H4" s="38">
        <v>5000</v>
      </c>
      <c r="I4" s="38">
        <v>5000</v>
      </c>
      <c r="J4" s="38">
        <v>5001</v>
      </c>
    </row>
    <row r="5" spans="1:10" x14ac:dyDescent="0.25">
      <c r="A5" s="2" t="s">
        <v>129</v>
      </c>
      <c r="B5" s="2" t="s">
        <v>36</v>
      </c>
      <c r="C5" s="10">
        <v>10000</v>
      </c>
      <c r="D5" s="10">
        <v>10000</v>
      </c>
      <c r="E5" s="10">
        <v>10000</v>
      </c>
      <c r="F5" s="10">
        <v>10000</v>
      </c>
      <c r="G5" s="10">
        <v>10000</v>
      </c>
      <c r="H5" s="38">
        <v>12000</v>
      </c>
      <c r="I5" s="38">
        <v>12000</v>
      </c>
      <c r="J5" s="38">
        <v>12001</v>
      </c>
    </row>
    <row r="6" spans="1:10" x14ac:dyDescent="0.25">
      <c r="A6" s="2" t="s">
        <v>88</v>
      </c>
      <c r="B6" s="11" t="s">
        <v>89</v>
      </c>
      <c r="C6" s="10">
        <v>160</v>
      </c>
      <c r="D6" s="10">
        <v>160</v>
      </c>
      <c r="E6" s="10">
        <v>160</v>
      </c>
      <c r="F6" s="10">
        <v>160</v>
      </c>
      <c r="G6" s="10">
        <v>160</v>
      </c>
      <c r="H6" s="38">
        <v>160</v>
      </c>
      <c r="I6" s="38">
        <v>160</v>
      </c>
      <c r="J6" s="38">
        <v>161</v>
      </c>
    </row>
    <row r="7" spans="1:10" x14ac:dyDescent="0.25">
      <c r="A7" s="2" t="s">
        <v>1</v>
      </c>
      <c r="B7" s="11" t="s">
        <v>82</v>
      </c>
      <c r="C7" s="10">
        <v>40</v>
      </c>
      <c r="D7" s="10">
        <v>40</v>
      </c>
      <c r="E7" s="10">
        <v>40</v>
      </c>
      <c r="F7" s="10">
        <v>30</v>
      </c>
      <c r="G7" s="10">
        <v>30</v>
      </c>
      <c r="H7" s="38">
        <v>30</v>
      </c>
      <c r="I7" s="38">
        <v>30</v>
      </c>
      <c r="J7" s="38">
        <v>31</v>
      </c>
    </row>
    <row r="8" spans="1:10" x14ac:dyDescent="0.25">
      <c r="A8" s="2" t="s">
        <v>87</v>
      </c>
      <c r="B8" s="2" t="s">
        <v>83</v>
      </c>
      <c r="C8" s="25">
        <v>2</v>
      </c>
      <c r="D8" s="25">
        <v>2</v>
      </c>
      <c r="E8" s="25">
        <v>2</v>
      </c>
      <c r="F8" s="25">
        <v>3</v>
      </c>
      <c r="G8" s="25">
        <v>3</v>
      </c>
      <c r="H8" s="39">
        <v>2</v>
      </c>
      <c r="I8" s="39">
        <v>2</v>
      </c>
      <c r="J8" s="39">
        <v>3</v>
      </c>
    </row>
    <row r="9" spans="1:10" x14ac:dyDescent="0.25">
      <c r="A9" s="2" t="s">
        <v>134</v>
      </c>
      <c r="B9" s="2" t="s">
        <v>59</v>
      </c>
      <c r="C9" s="39">
        <v>1973</v>
      </c>
      <c r="D9" s="39">
        <v>1973</v>
      </c>
      <c r="E9" s="39">
        <v>1973</v>
      </c>
      <c r="F9" s="39">
        <v>1973</v>
      </c>
      <c r="G9" s="39">
        <v>1973</v>
      </c>
      <c r="H9" s="39">
        <v>1973</v>
      </c>
      <c r="I9" s="39">
        <v>1973</v>
      </c>
      <c r="J9" s="39">
        <v>1974</v>
      </c>
    </row>
    <row r="10" spans="1:10" x14ac:dyDescent="0.25">
      <c r="A10" s="40" t="s">
        <v>131</v>
      </c>
      <c r="B10" s="40" t="s">
        <v>130</v>
      </c>
      <c r="C10" s="38">
        <v>164.42</v>
      </c>
      <c r="D10" s="38">
        <v>164.42</v>
      </c>
      <c r="E10" s="38">
        <v>164.42</v>
      </c>
      <c r="F10" s="38">
        <v>164.42</v>
      </c>
      <c r="G10" s="38">
        <v>164.42</v>
      </c>
      <c r="H10" s="38">
        <v>164.42</v>
      </c>
      <c r="I10" s="38">
        <v>164.42</v>
      </c>
      <c r="J10" s="38">
        <v>165.42</v>
      </c>
    </row>
    <row r="11" spans="1:10" x14ac:dyDescent="0.25">
      <c r="A11" s="44" t="s">
        <v>147</v>
      </c>
      <c r="B11" s="44"/>
      <c r="C11" s="44"/>
      <c r="D11" s="44"/>
      <c r="E11" s="44"/>
      <c r="F11" s="44"/>
      <c r="G11" s="44"/>
      <c r="H11" s="44"/>
      <c r="I11" s="44"/>
      <c r="J11" s="44"/>
    </row>
    <row r="12" spans="1:10" x14ac:dyDescent="0.25">
      <c r="A12" s="49" t="s">
        <v>138</v>
      </c>
      <c r="B12" s="49"/>
      <c r="C12" s="10"/>
      <c r="D12" s="10"/>
      <c r="E12" s="10"/>
      <c r="F12" s="10"/>
      <c r="G12" s="10"/>
      <c r="H12" s="10">
        <v>556.73</v>
      </c>
      <c r="I12" s="10">
        <v>2158.75</v>
      </c>
      <c r="J12" s="10">
        <v>294.38</v>
      </c>
    </row>
    <row r="13" spans="1:10" x14ac:dyDescent="0.25">
      <c r="A13" s="49" t="s">
        <v>128</v>
      </c>
      <c r="B13" s="49"/>
      <c r="C13" s="3"/>
      <c r="D13" s="10"/>
      <c r="E13" s="10"/>
      <c r="F13" s="10"/>
      <c r="G13" s="10"/>
      <c r="H13" s="10">
        <v>24753.96</v>
      </c>
      <c r="I13" s="10">
        <v>37854.46</v>
      </c>
      <c r="J13" s="10">
        <v>13262.72</v>
      </c>
    </row>
    <row r="14" spans="1:10" x14ac:dyDescent="0.25">
      <c r="A14" s="50" t="s">
        <v>148</v>
      </c>
      <c r="B14" s="51"/>
      <c r="C14" s="10"/>
      <c r="D14" s="10"/>
      <c r="E14" s="10"/>
      <c r="F14" s="10"/>
      <c r="G14" s="10"/>
      <c r="H14" s="10">
        <v>18927.740000000002</v>
      </c>
      <c r="I14" s="10">
        <v>18927.740000000002</v>
      </c>
      <c r="J14" s="10">
        <v>18927.740000000002</v>
      </c>
    </row>
    <row r="15" spans="1:10" x14ac:dyDescent="0.25">
      <c r="A15" s="49" t="s">
        <v>139</v>
      </c>
      <c r="B15" s="49"/>
      <c r="C15" s="3"/>
      <c r="D15" s="10"/>
      <c r="E15" s="10"/>
      <c r="F15" s="10"/>
      <c r="G15" s="10"/>
      <c r="H15" s="10">
        <v>28480.310000000005</v>
      </c>
      <c r="I15" s="10">
        <v>15379.810000000005</v>
      </c>
      <c r="J15" s="10">
        <v>39971.550000000003</v>
      </c>
    </row>
    <row r="16" spans="1:10" x14ac:dyDescent="0.25">
      <c r="A16" s="50" t="s">
        <v>150</v>
      </c>
      <c r="B16" s="51"/>
      <c r="C16" s="3"/>
      <c r="D16" s="10"/>
      <c r="E16" s="10"/>
      <c r="F16" s="10"/>
      <c r="G16" s="10"/>
      <c r="H16" s="10" t="s">
        <v>152</v>
      </c>
      <c r="I16" s="10" t="s">
        <v>152</v>
      </c>
      <c r="J16" s="10" t="s">
        <v>152</v>
      </c>
    </row>
    <row r="17" spans="1:10" x14ac:dyDescent="0.25">
      <c r="A17" s="49" t="s">
        <v>140</v>
      </c>
      <c r="B17" s="49"/>
      <c r="C17" s="3"/>
      <c r="D17" s="10"/>
      <c r="E17" s="10"/>
      <c r="F17" s="10"/>
      <c r="G17" s="10"/>
      <c r="H17" s="10">
        <v>1.31</v>
      </c>
      <c r="I17" s="10">
        <v>2</v>
      </c>
      <c r="J17" s="10">
        <v>0.7</v>
      </c>
    </row>
    <row r="18" spans="1:10" x14ac:dyDescent="0.25">
      <c r="A18" s="49" t="s">
        <v>141</v>
      </c>
      <c r="B18" s="49"/>
      <c r="C18" s="3"/>
      <c r="D18" s="3"/>
      <c r="E18" s="3"/>
      <c r="F18" s="3"/>
      <c r="G18" s="3"/>
      <c r="H18" s="3" t="s">
        <v>153</v>
      </c>
      <c r="I18" s="3" t="s">
        <v>153</v>
      </c>
      <c r="J18" s="3" t="s">
        <v>153</v>
      </c>
    </row>
  </sheetData>
  <mergeCells count="9">
    <mergeCell ref="A11:J11"/>
    <mergeCell ref="A1:J1"/>
    <mergeCell ref="A18:B18"/>
    <mergeCell ref="A14:B14"/>
    <mergeCell ref="A16:B16"/>
    <mergeCell ref="A12:B12"/>
    <mergeCell ref="A13:B13"/>
    <mergeCell ref="A15:B15"/>
    <mergeCell ref="A17:B1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Формулы</vt:lpstr>
      <vt:lpstr>Аналитика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2022-02-22T05:47:52Z</dcterms:modified>
</cp:coreProperties>
</file>